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rosoft-my.sharepoint-df.com/personal/jorea_microsoft_com/Documents/#Copilot/Customers/Niagara/Sales/"/>
    </mc:Choice>
  </mc:AlternateContent>
  <xr:revisionPtr revIDLastSave="1432" documentId="8_{9F4527AA-0182-4008-9C8F-7BDE37FFE43C}" xr6:coauthVersionLast="47" xr6:coauthVersionMax="47" xr10:uidLastSave="{3BDC335A-3554-400E-A2F5-6116ACAC7961}"/>
  <bookViews>
    <workbookView xWindow="-120" yWindow="-120" windowWidth="29040" windowHeight="15720" firstSheet="3" activeTab="8" xr2:uid="{558F7F0B-5993-4AB7-AB4B-6257888A461E}"/>
  </bookViews>
  <sheets>
    <sheet name="Monthly Trends" sheetId="9" r:id="rId1"/>
    <sheet name="Sales Data" sheetId="2" r:id="rId2"/>
    <sheet name="Product Catalog" sheetId="3" r:id="rId3"/>
    <sheet name="Customers" sheetId="4" r:id="rId4"/>
    <sheet name="Sales Reps" sheetId="5" r:id="rId5"/>
    <sheet name="Targets &amp; KPIs" sheetId="6" r:id="rId6"/>
    <sheet name="Sales Pipeline" sheetId="7" r:id="rId7"/>
    <sheet name="Inventory" sheetId="8" r:id="rId8"/>
    <sheet name="Executive Summary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5" i="12" l="1"/>
  <c r="B104" i="12"/>
  <c r="B103" i="12"/>
  <c r="B102" i="12"/>
  <c r="C98" i="12"/>
  <c r="B98" i="12"/>
  <c r="A98" i="12"/>
  <c r="C97" i="12"/>
  <c r="B97" i="12"/>
  <c r="A97" i="12"/>
  <c r="C96" i="12"/>
  <c r="B96" i="12"/>
  <c r="A96" i="12"/>
  <c r="C95" i="12"/>
  <c r="B95" i="12"/>
  <c r="A95" i="12"/>
  <c r="C94" i="12"/>
  <c r="B94" i="12"/>
  <c r="A94" i="12"/>
  <c r="C93" i="12"/>
  <c r="B93" i="12"/>
  <c r="A93" i="12"/>
  <c r="C92" i="12"/>
  <c r="B92" i="12"/>
  <c r="A92" i="12"/>
  <c r="C88" i="12"/>
  <c r="B88" i="12"/>
  <c r="A88" i="12"/>
  <c r="C87" i="12"/>
  <c r="B87" i="12"/>
  <c r="A87" i="12"/>
  <c r="C86" i="12"/>
  <c r="B86" i="12"/>
  <c r="A86" i="12"/>
  <c r="C85" i="12"/>
  <c r="B85" i="12"/>
  <c r="A85" i="12"/>
  <c r="C84" i="12"/>
  <c r="B84" i="12"/>
  <c r="A84" i="12"/>
  <c r="C83" i="12"/>
  <c r="B83" i="12"/>
  <c r="A83" i="12"/>
  <c r="C82" i="12"/>
  <c r="B82" i="12"/>
  <c r="A82" i="12"/>
  <c r="C81" i="12"/>
  <c r="B81" i="12"/>
  <c r="A81" i="12"/>
  <c r="C80" i="12"/>
  <c r="B80" i="12"/>
  <c r="A80" i="12"/>
  <c r="C79" i="12"/>
  <c r="B79" i="12"/>
  <c r="A79" i="12"/>
  <c r="C78" i="12"/>
  <c r="B78" i="12"/>
  <c r="A78" i="12"/>
  <c r="C77" i="12"/>
  <c r="B77" i="12"/>
  <c r="A77" i="12"/>
  <c r="C73" i="12"/>
  <c r="B73" i="12"/>
  <c r="C72" i="12"/>
  <c r="B72" i="12"/>
  <c r="C71" i="12"/>
  <c r="B71" i="12"/>
  <c r="C70" i="12"/>
  <c r="B70" i="12"/>
  <c r="E66" i="12"/>
  <c r="D66" i="12"/>
  <c r="C66" i="12"/>
  <c r="B66" i="12"/>
  <c r="E65" i="12"/>
  <c r="D65" i="12"/>
  <c r="C65" i="12"/>
  <c r="B65" i="12"/>
  <c r="E64" i="12"/>
  <c r="D64" i="12"/>
  <c r="C64" i="12"/>
  <c r="B64" i="12"/>
  <c r="E63" i="12"/>
  <c r="D63" i="12"/>
  <c r="C63" i="12"/>
  <c r="B63" i="12"/>
  <c r="E29" i="12"/>
  <c r="D29" i="12"/>
  <c r="C29" i="12"/>
  <c r="B29" i="12"/>
  <c r="E28" i="12"/>
  <c r="D28" i="12"/>
  <c r="C28" i="12"/>
  <c r="B28" i="12"/>
  <c r="E27" i="12"/>
  <c r="D27" i="12"/>
  <c r="C27" i="12"/>
  <c r="B27" i="12"/>
  <c r="E26" i="12"/>
  <c r="D26" i="12"/>
  <c r="C26" i="12"/>
  <c r="B26" i="12"/>
  <c r="E25" i="12"/>
  <c r="D25" i="12"/>
  <c r="C25" i="12"/>
  <c r="B25" i="12"/>
  <c r="K21" i="12"/>
  <c r="J21" i="12"/>
  <c r="I21" i="12"/>
  <c r="H21" i="12"/>
  <c r="G21" i="12"/>
  <c r="F21" i="12"/>
  <c r="E21" i="12"/>
  <c r="D21" i="12"/>
  <c r="C21" i="12"/>
  <c r="K20" i="12"/>
  <c r="H20" i="12"/>
  <c r="G20" i="12"/>
  <c r="F20" i="12"/>
  <c r="E20" i="12"/>
  <c r="D20" i="12"/>
  <c r="C20" i="12"/>
  <c r="K19" i="12"/>
  <c r="H19" i="12"/>
  <c r="G19" i="12"/>
  <c r="F19" i="12"/>
  <c r="E19" i="12"/>
  <c r="D19" i="12"/>
  <c r="C19" i="12"/>
  <c r="K18" i="12"/>
  <c r="H18" i="12"/>
  <c r="G18" i="12"/>
  <c r="F18" i="12"/>
  <c r="E18" i="12"/>
  <c r="D18" i="12"/>
  <c r="C18" i="12"/>
  <c r="K17" i="12"/>
  <c r="H17" i="12"/>
  <c r="G17" i="12"/>
  <c r="F17" i="12"/>
  <c r="E17" i="12"/>
  <c r="D17" i="12"/>
  <c r="C17" i="12"/>
  <c r="C13" i="12" a="1"/>
  <c r="C12" i="12" a="1"/>
  <c r="E11" i="12"/>
  <c r="D11" i="12"/>
  <c r="C11" i="12"/>
  <c r="B11" i="12"/>
  <c r="E10" i="12"/>
  <c r="D10" i="12"/>
  <c r="C10" i="12"/>
  <c r="B10" i="12"/>
  <c r="E9" i="12"/>
  <c r="D9" i="12"/>
  <c r="C9" i="12"/>
  <c r="B9" i="12"/>
  <c r="E8" i="12"/>
  <c r="D8" i="12"/>
  <c r="C8" i="12"/>
  <c r="B8" i="12"/>
  <c r="E7" i="12"/>
  <c r="D7" i="12"/>
  <c r="C7" i="12"/>
  <c r="B7" i="12"/>
  <c r="E6" i="12"/>
  <c r="D6" i="12"/>
  <c r="C6" i="12"/>
  <c r="B6" i="12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J241" i="2"/>
  <c r="K241" i="2"/>
  <c r="L241" i="2"/>
  <c r="J242" i="2"/>
  <c r="K242" i="2"/>
  <c r="L242" i="2"/>
  <c r="J243" i="2"/>
  <c r="K243" i="2"/>
  <c r="L243" i="2"/>
  <c r="J244" i="2"/>
  <c r="K244" i="2"/>
  <c r="L244" i="2"/>
  <c r="J245" i="2"/>
  <c r="K245" i="2"/>
  <c r="L245" i="2"/>
  <c r="J246" i="2"/>
  <c r="K246" i="2"/>
  <c r="L246" i="2"/>
  <c r="J247" i="2"/>
  <c r="K247" i="2"/>
  <c r="L247" i="2"/>
  <c r="J248" i="2"/>
  <c r="K248" i="2"/>
  <c r="L248" i="2"/>
  <c r="J249" i="2"/>
  <c r="K249" i="2"/>
  <c r="L249" i="2"/>
  <c r="J250" i="2"/>
  <c r="K250" i="2"/>
  <c r="L250" i="2"/>
  <c r="J251" i="2"/>
  <c r="K251" i="2"/>
  <c r="L251" i="2"/>
  <c r="J252" i="2"/>
  <c r="K252" i="2"/>
  <c r="L252" i="2"/>
  <c r="J253" i="2"/>
  <c r="K253" i="2"/>
  <c r="L253" i="2"/>
  <c r="J254" i="2"/>
  <c r="K254" i="2"/>
  <c r="L254" i="2"/>
  <c r="J255" i="2"/>
  <c r="K255" i="2"/>
  <c r="L255" i="2"/>
  <c r="J256" i="2"/>
  <c r="K256" i="2"/>
  <c r="L256" i="2"/>
  <c r="J257" i="2"/>
  <c r="K257" i="2"/>
  <c r="L257" i="2"/>
  <c r="J258" i="2"/>
  <c r="K258" i="2"/>
  <c r="L258" i="2"/>
  <c r="J259" i="2"/>
  <c r="K259" i="2"/>
  <c r="L259" i="2"/>
  <c r="J260" i="2"/>
  <c r="K260" i="2"/>
  <c r="L260" i="2"/>
  <c r="J261" i="2"/>
  <c r="K261" i="2"/>
  <c r="L261" i="2"/>
  <c r="J262" i="2"/>
  <c r="K262" i="2"/>
  <c r="L262" i="2"/>
  <c r="J263" i="2"/>
  <c r="L263" i="2" s="1"/>
  <c r="K263" i="2"/>
  <c r="J264" i="2"/>
  <c r="K264" i="2"/>
  <c r="L264" i="2"/>
  <c r="J201" i="2"/>
  <c r="K201" i="2"/>
  <c r="L201" i="2"/>
  <c r="J202" i="2"/>
  <c r="K202" i="2"/>
  <c r="L202" i="2"/>
  <c r="J203" i="2"/>
  <c r="K203" i="2"/>
  <c r="L203" i="2"/>
  <c r="J204" i="2"/>
  <c r="K204" i="2"/>
  <c r="L204" i="2"/>
  <c r="J205" i="2"/>
  <c r="K205" i="2"/>
  <c r="L205" i="2"/>
  <c r="J206" i="2"/>
  <c r="K206" i="2"/>
  <c r="L206" i="2"/>
  <c r="J207" i="2"/>
  <c r="K207" i="2"/>
  <c r="L207" i="2"/>
  <c r="J208" i="2"/>
  <c r="K208" i="2"/>
  <c r="L208" i="2"/>
  <c r="J209" i="2"/>
  <c r="K209" i="2"/>
  <c r="L209" i="2"/>
  <c r="J210" i="2"/>
  <c r="K210" i="2"/>
  <c r="L210" i="2"/>
  <c r="J211" i="2"/>
  <c r="K211" i="2"/>
  <c r="L211" i="2"/>
  <c r="J212" i="2"/>
  <c r="K212" i="2"/>
  <c r="L212" i="2"/>
  <c r="J213" i="2"/>
  <c r="K213" i="2"/>
  <c r="L213" i="2"/>
  <c r="J214" i="2"/>
  <c r="K214" i="2"/>
  <c r="L214" i="2"/>
  <c r="J215" i="2"/>
  <c r="K215" i="2"/>
  <c r="L215" i="2"/>
  <c r="J216" i="2"/>
  <c r="K216" i="2"/>
  <c r="L216" i="2"/>
  <c r="J217" i="2"/>
  <c r="K217" i="2"/>
  <c r="L217" i="2"/>
  <c r="J218" i="2"/>
  <c r="K218" i="2"/>
  <c r="L218" i="2"/>
  <c r="J219" i="2"/>
  <c r="K219" i="2"/>
  <c r="L219" i="2"/>
  <c r="J220" i="2"/>
  <c r="K220" i="2"/>
  <c r="L220" i="2"/>
  <c r="J221" i="2"/>
  <c r="K221" i="2"/>
  <c r="L221" i="2"/>
  <c r="J222" i="2"/>
  <c r="K222" i="2"/>
  <c r="J223" i="2"/>
  <c r="K223" i="2"/>
  <c r="L223" i="2"/>
  <c r="J224" i="2"/>
  <c r="K224" i="2"/>
  <c r="L224" i="2"/>
  <c r="J225" i="2"/>
  <c r="K225" i="2"/>
  <c r="L225" i="2"/>
  <c r="J226" i="2"/>
  <c r="K226" i="2"/>
  <c r="L226" i="2"/>
  <c r="J227" i="2"/>
  <c r="K227" i="2"/>
  <c r="L227" i="2"/>
  <c r="J228" i="2"/>
  <c r="K228" i="2"/>
  <c r="L228" i="2"/>
  <c r="J229" i="2"/>
  <c r="K229" i="2"/>
  <c r="L229" i="2"/>
  <c r="J230" i="2"/>
  <c r="K230" i="2"/>
  <c r="L230" i="2"/>
  <c r="J231" i="2"/>
  <c r="K231" i="2"/>
  <c r="L231" i="2"/>
  <c r="J232" i="2"/>
  <c r="K232" i="2"/>
  <c r="L232" i="2"/>
  <c r="J233" i="2"/>
  <c r="K233" i="2"/>
  <c r="L233" i="2"/>
  <c r="J234" i="2"/>
  <c r="K234" i="2"/>
  <c r="L234" i="2"/>
  <c r="J235" i="2"/>
  <c r="K235" i="2"/>
  <c r="L235" i="2"/>
  <c r="J236" i="2"/>
  <c r="K236" i="2"/>
  <c r="L236" i="2"/>
  <c r="J237" i="2"/>
  <c r="K237" i="2"/>
  <c r="L237" i="2"/>
  <c r="J238" i="2"/>
  <c r="K238" i="2"/>
  <c r="L238" i="2"/>
  <c r="J239" i="2"/>
  <c r="K239" i="2"/>
  <c r="L239" i="2"/>
  <c r="J240" i="2"/>
  <c r="K240" i="2"/>
  <c r="L24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L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J155" i="2"/>
  <c r="K155" i="2"/>
  <c r="L155" i="2"/>
  <c r="J156" i="2"/>
  <c r="K156" i="2"/>
  <c r="L156" i="2"/>
  <c r="J157" i="2"/>
  <c r="K157" i="2"/>
  <c r="J158" i="2"/>
  <c r="K158" i="2"/>
  <c r="L158" i="2"/>
  <c r="J159" i="2"/>
  <c r="K159" i="2"/>
  <c r="L159" i="2"/>
  <c r="J160" i="2"/>
  <c r="K160" i="2"/>
  <c r="L160" i="2"/>
  <c r="D33" i="9"/>
  <c r="D32" i="9"/>
  <c r="D31" i="9"/>
  <c r="D30" i="9"/>
  <c r="D29" i="9"/>
  <c r="D28" i="9"/>
  <c r="D27" i="9"/>
  <c r="H4" i="9"/>
  <c r="E4" i="9"/>
  <c r="E5" i="9"/>
  <c r="E6" i="9"/>
  <c r="E7" i="9"/>
  <c r="E8" i="9"/>
  <c r="E9" i="9"/>
  <c r="E10" i="9"/>
  <c r="E11" i="9"/>
  <c r="E12" i="9"/>
  <c r="E13" i="9"/>
  <c r="E14" i="9"/>
  <c r="E15" i="9"/>
  <c r="D4" i="9"/>
  <c r="D5" i="9"/>
  <c r="D6" i="9"/>
  <c r="D7" i="9"/>
  <c r="D8" i="9"/>
  <c r="D9" i="9"/>
  <c r="D10" i="9"/>
  <c r="D11" i="9"/>
  <c r="D12" i="9"/>
  <c r="D13" i="9"/>
  <c r="D14" i="9"/>
  <c r="D15" i="9"/>
  <c r="F15" i="9" s="1"/>
  <c r="C9" i="9"/>
  <c r="C10" i="9"/>
  <c r="C11" i="9"/>
  <c r="C12" i="9"/>
  <c r="C13" i="9"/>
  <c r="C15" i="9"/>
  <c r="B4" i="9"/>
  <c r="B5" i="9"/>
  <c r="B6" i="9"/>
  <c r="B7" i="9"/>
  <c r="B8" i="9"/>
  <c r="B9" i="9"/>
  <c r="B10" i="9"/>
  <c r="B11" i="9"/>
  <c r="B12" i="9"/>
  <c r="B13" i="9"/>
  <c r="B14" i="9"/>
  <c r="B15" i="9"/>
  <c r="C34" i="6"/>
  <c r="D34" i="6" s="1"/>
  <c r="C31" i="6"/>
  <c r="D31" i="6" s="1"/>
  <c r="B25" i="6"/>
  <c r="B17" i="6"/>
  <c r="E17" i="6"/>
  <c r="H17" i="6"/>
  <c r="K17" i="6"/>
  <c r="L6" i="6"/>
  <c r="M6" i="6" s="1"/>
  <c r="L7" i="6"/>
  <c r="M7" i="6" s="1"/>
  <c r="L8" i="6"/>
  <c r="M8" i="6" s="1"/>
  <c r="L9" i="6"/>
  <c r="M9" i="6" s="1"/>
  <c r="L10" i="6"/>
  <c r="M10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I6" i="6"/>
  <c r="J6" i="6" s="1"/>
  <c r="I7" i="6"/>
  <c r="J7" i="6" s="1"/>
  <c r="I8" i="6"/>
  <c r="J8" i="6" s="1"/>
  <c r="I9" i="6"/>
  <c r="J9" i="6" s="1"/>
  <c r="I10" i="6"/>
  <c r="J10" i="6" s="1"/>
  <c r="I11" i="6"/>
  <c r="J11" i="6" s="1"/>
  <c r="I12" i="6"/>
  <c r="J12" i="6" s="1"/>
  <c r="I13" i="6"/>
  <c r="J13" i="6" s="1"/>
  <c r="I14" i="6"/>
  <c r="J14" i="6" s="1"/>
  <c r="I15" i="6"/>
  <c r="J15" i="6" s="1"/>
  <c r="I16" i="6"/>
  <c r="J16" i="6" s="1"/>
  <c r="F6" i="6"/>
  <c r="G6" i="6" s="1"/>
  <c r="F7" i="6"/>
  <c r="G7" i="6" s="1"/>
  <c r="F8" i="6"/>
  <c r="G8" i="6" s="1"/>
  <c r="F9" i="6"/>
  <c r="G9" i="6" s="1"/>
  <c r="F10" i="6"/>
  <c r="G10" i="6" s="1"/>
  <c r="F12" i="6"/>
  <c r="G12" i="6" s="1"/>
  <c r="F13" i="6"/>
  <c r="G13" i="6" s="1"/>
  <c r="F14" i="6"/>
  <c r="G14" i="6" s="1"/>
  <c r="F15" i="6"/>
  <c r="G15" i="6" s="1"/>
  <c r="F16" i="6"/>
  <c r="G16" i="6" s="1"/>
  <c r="C6" i="6"/>
  <c r="D6" i="6" s="1"/>
  <c r="C7" i="6"/>
  <c r="D7" i="6" s="1"/>
  <c r="C8" i="6"/>
  <c r="D8" i="6" s="1"/>
  <c r="C9" i="6"/>
  <c r="D9" i="6" s="1"/>
  <c r="C10" i="6"/>
  <c r="D10" i="6" s="1"/>
  <c r="C12" i="6"/>
  <c r="D12" i="6" s="1"/>
  <c r="C13" i="6"/>
  <c r="D13" i="6" s="1"/>
  <c r="C14" i="6"/>
  <c r="D14" i="6" s="1"/>
  <c r="C15" i="6"/>
  <c r="D15" i="6" s="1"/>
  <c r="C16" i="6"/>
  <c r="D16" i="6" s="1"/>
  <c r="L2" i="8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K2" i="8"/>
  <c r="K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G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L33" i="2" s="1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F28" i="12" l="1"/>
  <c r="F26" i="12"/>
  <c r="F27" i="12"/>
  <c r="F25" i="12"/>
  <c r="L222" i="2"/>
  <c r="C14" i="9" s="1"/>
  <c r="L12" i="2"/>
  <c r="C5" i="9" s="1"/>
  <c r="G5" i="9" s="1"/>
  <c r="L13" i="2"/>
  <c r="L14" i="2"/>
  <c r="L15" i="2"/>
  <c r="C33" i="9" s="1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F14" i="9"/>
  <c r="L8" i="2"/>
  <c r="L9" i="2"/>
  <c r="L10" i="2"/>
  <c r="B32" i="9"/>
  <c r="B33" i="9"/>
  <c r="L154" i="2"/>
  <c r="C7" i="9" s="1"/>
  <c r="G7" i="9" s="1"/>
  <c r="L157" i="2"/>
  <c r="G15" i="9"/>
  <c r="L11" i="2"/>
  <c r="C6" i="9"/>
  <c r="G6" i="9" s="1"/>
  <c r="C8" i="9"/>
  <c r="G8" i="9" s="1"/>
  <c r="C32" i="6"/>
  <c r="D32" i="6" s="1"/>
  <c r="C29" i="6"/>
  <c r="D29" i="6" s="1"/>
  <c r="C21" i="6"/>
  <c r="C5" i="6"/>
  <c r="C22" i="6"/>
  <c r="F5" i="6"/>
  <c r="C24" i="6"/>
  <c r="L5" i="6"/>
  <c r="L5" i="2"/>
  <c r="C23" i="6"/>
  <c r="I5" i="6"/>
  <c r="E33" i="9"/>
  <c r="E16" i="9"/>
  <c r="F6" i="9"/>
  <c r="F8" i="9"/>
  <c r="F11" i="9"/>
  <c r="E32" i="9"/>
  <c r="F5" i="9"/>
  <c r="F9" i="9"/>
  <c r="F12" i="9"/>
  <c r="C22" i="9"/>
  <c r="D34" i="9"/>
  <c r="D20" i="9"/>
  <c r="D16" i="9"/>
  <c r="F4" i="9"/>
  <c r="D21" i="9"/>
  <c r="F7" i="9"/>
  <c r="D22" i="9"/>
  <c r="F10" i="9"/>
  <c r="F13" i="9"/>
  <c r="D23" i="9"/>
  <c r="H5" i="9"/>
  <c r="B16" i="9"/>
  <c r="B20" i="9"/>
  <c r="H6" i="9"/>
  <c r="H7" i="9"/>
  <c r="H8" i="9"/>
  <c r="B21" i="9"/>
  <c r="H9" i="9"/>
  <c r="H10" i="9"/>
  <c r="G9" i="9"/>
  <c r="G10" i="9"/>
  <c r="H11" i="9"/>
  <c r="B22" i="9"/>
  <c r="G11" i="9"/>
  <c r="H12" i="9"/>
  <c r="G12" i="9"/>
  <c r="H13" i="9"/>
  <c r="B23" i="9"/>
  <c r="G13" i="9"/>
  <c r="H14" i="9"/>
  <c r="H15" i="9"/>
  <c r="L2" i="2"/>
  <c r="B27" i="9"/>
  <c r="E27" i="9" s="1"/>
  <c r="L3" i="2"/>
  <c r="B29" i="9"/>
  <c r="L4" i="2"/>
  <c r="B31" i="9"/>
  <c r="L6" i="2"/>
  <c r="B30" i="9"/>
  <c r="L7" i="2"/>
  <c r="B28" i="9"/>
  <c r="C32" i="9" l="1"/>
  <c r="C30" i="9"/>
  <c r="F30" i="9" s="1"/>
  <c r="C31" i="9"/>
  <c r="F31" i="9" s="1"/>
  <c r="C23" i="9"/>
  <c r="E23" i="9" s="1"/>
  <c r="G14" i="9"/>
  <c r="F32" i="9"/>
  <c r="F33" i="9"/>
  <c r="C25" i="6"/>
  <c r="D25" i="6" s="1"/>
  <c r="F21" i="6"/>
  <c r="D21" i="6"/>
  <c r="G21" i="6" s="1"/>
  <c r="F22" i="6"/>
  <c r="D22" i="6"/>
  <c r="G22" i="6" s="1"/>
  <c r="F24" i="6"/>
  <c r="D24" i="6"/>
  <c r="G24" i="6" s="1"/>
  <c r="F23" i="6"/>
  <c r="D23" i="6"/>
  <c r="G23" i="6" s="1"/>
  <c r="C28" i="9"/>
  <c r="F28" i="9" s="1"/>
  <c r="C29" i="9"/>
  <c r="F29" i="9" s="1"/>
  <c r="C21" i="9"/>
  <c r="E21" i="9" s="1"/>
  <c r="C17" i="6"/>
  <c r="D17" i="6" s="1"/>
  <c r="D5" i="6"/>
  <c r="G5" i="6"/>
  <c r="F17" i="6"/>
  <c r="G17" i="6" s="1"/>
  <c r="L17" i="6"/>
  <c r="M17" i="6" s="1"/>
  <c r="M5" i="6"/>
  <c r="J5" i="6"/>
  <c r="I17" i="6"/>
  <c r="J17" i="6" s="1"/>
  <c r="F16" i="9"/>
  <c r="F21" i="9"/>
  <c r="F22" i="9"/>
  <c r="E22" i="9"/>
  <c r="F23" i="9"/>
  <c r="C30" i="6"/>
  <c r="D30" i="6" s="1"/>
  <c r="C33" i="6"/>
  <c r="D33" i="6" s="1"/>
  <c r="C4" i="9"/>
  <c r="C27" i="9"/>
  <c r="G27" i="9"/>
  <c r="G28" i="9"/>
  <c r="G29" i="9"/>
  <c r="G30" i="9"/>
  <c r="G31" i="9"/>
  <c r="G32" i="9"/>
  <c r="G33" i="9"/>
  <c r="B34" i="9"/>
  <c r="E29" i="9"/>
  <c r="E31" i="9"/>
  <c r="E30" i="9"/>
  <c r="E28" i="9"/>
  <c r="H16" i="9"/>
  <c r="F25" i="6" l="1"/>
  <c r="G4" i="9"/>
  <c r="C16" i="9"/>
  <c r="G16" i="9" s="1"/>
  <c r="C20" i="9"/>
  <c r="E20" i="9" s="1"/>
  <c r="E34" i="9"/>
  <c r="C34" i="9"/>
  <c r="F34" i="9" s="1"/>
  <c r="F27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<sst xmlns="http://schemas.openxmlformats.org/spreadsheetml/2006/main" count="4476" uniqueCount="1405">
  <si>
    <t>Product ID</t>
  </si>
  <si>
    <t>Product Name</t>
  </si>
  <si>
    <t>Category</t>
  </si>
  <si>
    <t>Size (L)</t>
  </si>
  <si>
    <t>Unit Price ($)</t>
  </si>
  <si>
    <t>Cost ($)</t>
  </si>
  <si>
    <t>Margin %</t>
  </si>
  <si>
    <t>Status</t>
  </si>
  <si>
    <t>P001</t>
  </si>
  <si>
    <t>Zava Spring Water</t>
  </si>
  <si>
    <t>Water</t>
  </si>
  <si>
    <t>Active</t>
  </si>
  <si>
    <t>P002</t>
  </si>
  <si>
    <t>P003</t>
  </si>
  <si>
    <t>P004</t>
  </si>
  <si>
    <t>Zava Sparkling Water</t>
  </si>
  <si>
    <t>Sparkling</t>
  </si>
  <si>
    <t>P005</t>
  </si>
  <si>
    <t>P006</t>
  </si>
  <si>
    <t>Zava Cola Classic</t>
  </si>
  <si>
    <t>Soft Drinks</t>
  </si>
  <si>
    <t>P007</t>
  </si>
  <si>
    <t>P008</t>
  </si>
  <si>
    <t>P009</t>
  </si>
  <si>
    <t>Zava Orange Burst</t>
  </si>
  <si>
    <t>P010</t>
  </si>
  <si>
    <t>P011</t>
  </si>
  <si>
    <t>Zava Lemon Fizz</t>
  </si>
  <si>
    <t>P012</t>
  </si>
  <si>
    <t>P013</t>
  </si>
  <si>
    <t>Zava Energy Rush</t>
  </si>
  <si>
    <t>Energy Drinks</t>
  </si>
  <si>
    <t>P014</t>
  </si>
  <si>
    <t>P015</t>
  </si>
  <si>
    <t>Zava Sports Hydrate</t>
  </si>
  <si>
    <t>Sports Drinks</t>
  </si>
  <si>
    <t>P016</t>
  </si>
  <si>
    <t>P017</t>
  </si>
  <si>
    <t>Zava Green Tea</t>
  </si>
  <si>
    <t>Tea</t>
  </si>
  <si>
    <t>P018</t>
  </si>
  <si>
    <t>Zava Iced Tea Lemon</t>
  </si>
  <si>
    <t>P019</t>
  </si>
  <si>
    <t>Zava Juice Apple</t>
  </si>
  <si>
    <t>Juices</t>
  </si>
  <si>
    <t>P020</t>
  </si>
  <si>
    <t>Zava Juice Orange</t>
  </si>
  <si>
    <t>Customer ID</t>
  </si>
  <si>
    <t>Company Name</t>
  </si>
  <si>
    <t>Contact Name</t>
  </si>
  <si>
    <t>Region</t>
  </si>
  <si>
    <t>City</t>
  </si>
  <si>
    <t>Customer Type</t>
  </si>
  <si>
    <t>Credit Limit ($)</t>
  </si>
  <si>
    <t>Payment Terms</t>
  </si>
  <si>
    <t>Account Status</t>
  </si>
  <si>
    <t>Assigned Rep</t>
  </si>
  <si>
    <t>C001</t>
  </si>
  <si>
    <t>Metro Supermarkets</t>
  </si>
  <si>
    <t>John Anderson</t>
  </si>
  <si>
    <t>North</t>
  </si>
  <si>
    <t>Chicago</t>
  </si>
  <si>
    <t>Retail Chain</t>
  </si>
  <si>
    <t>Net 30</t>
  </si>
  <si>
    <t>Sarah Johnson</t>
  </si>
  <si>
    <t>C002</t>
  </si>
  <si>
    <t>QuickStop Convenience</t>
  </si>
  <si>
    <t>Maria Garcia</t>
  </si>
  <si>
    <t>Detroit</t>
  </si>
  <si>
    <t>Convenience</t>
  </si>
  <si>
    <t>Net 15</t>
  </si>
  <si>
    <t>C003</t>
  </si>
  <si>
    <t>FreshMart Groceries</t>
  </si>
  <si>
    <t>David Lee</t>
  </si>
  <si>
    <t>South</t>
  </si>
  <si>
    <t>Houston</t>
  </si>
  <si>
    <t>Mike Chen</t>
  </si>
  <si>
    <t>C004</t>
  </si>
  <si>
    <t>Campus Dining Services</t>
  </si>
  <si>
    <t>Emily White</t>
  </si>
  <si>
    <t>East</t>
  </si>
  <si>
    <t>Boston</t>
  </si>
  <si>
    <t>Institutional</t>
  </si>
  <si>
    <t>Lisa Wang</t>
  </si>
  <si>
    <t>C005</t>
  </si>
  <si>
    <t>Sports Arena Concessions</t>
  </si>
  <si>
    <t>Robert Brown</t>
  </si>
  <si>
    <t>West</t>
  </si>
  <si>
    <t>Los Angeles</t>
  </si>
  <si>
    <t>Entertainment</t>
  </si>
  <si>
    <t>Tom Martinez</t>
  </si>
  <si>
    <t>C006</t>
  </si>
  <si>
    <t>HealthClub Network</t>
  </si>
  <si>
    <t>Jennifer Davis</t>
  </si>
  <si>
    <t>San Francisco</t>
  </si>
  <si>
    <t>Fitness</t>
  </si>
  <si>
    <t>C007</t>
  </si>
  <si>
    <t>City Hospital Cafeteria</t>
  </si>
  <si>
    <t>Michael Wilson</t>
  </si>
  <si>
    <t>New York</t>
  </si>
  <si>
    <t>Healthcare</t>
  </si>
  <si>
    <t>Net 45</t>
  </si>
  <si>
    <t>C008</t>
  </si>
  <si>
    <t>University Food Services</t>
  </si>
  <si>
    <t>Amanda Taylor</t>
  </si>
  <si>
    <t>Miami</t>
  </si>
  <si>
    <t>C009</t>
  </si>
  <si>
    <t>Corner Store Chain</t>
  </si>
  <si>
    <t>James Miller</t>
  </si>
  <si>
    <t>Minneapolis</t>
  </si>
  <si>
    <t>C010</t>
  </si>
  <si>
    <t>Beach Resort Hotels</t>
  </si>
  <si>
    <t>Susan Clark</t>
  </si>
  <si>
    <t>Orlando</t>
  </si>
  <si>
    <t>Hospitality</t>
  </si>
  <si>
    <t>C011</t>
  </si>
  <si>
    <t>Downtown Deli Group</t>
  </si>
  <si>
    <t>Chris Martin</t>
  </si>
  <si>
    <t>Philadelphia</t>
  </si>
  <si>
    <t>Restaurant</t>
  </si>
  <si>
    <t>C012</t>
  </si>
  <si>
    <t>Movie Theater Chain</t>
  </si>
  <si>
    <t>Karen Lewis</t>
  </si>
  <si>
    <t>Seattle</t>
  </si>
  <si>
    <t>C013</t>
  </si>
  <si>
    <t>Office Building Vendors</t>
  </si>
  <si>
    <t>Paul Walker</t>
  </si>
  <si>
    <t>Cleveland</t>
  </si>
  <si>
    <t>Corporate</t>
  </si>
  <si>
    <t>C014</t>
  </si>
  <si>
    <t>School District 45</t>
  </si>
  <si>
    <t>Nancy Hall</t>
  </si>
  <si>
    <t>Dallas</t>
  </si>
  <si>
    <t>Education</t>
  </si>
  <si>
    <t>C015</t>
  </si>
  <si>
    <t>Airport Retail Group</t>
  </si>
  <si>
    <t>Steven Young</t>
  </si>
  <si>
    <t>Atlanta</t>
  </si>
  <si>
    <t>Travel</t>
  </si>
  <si>
    <t>C016</t>
  </si>
  <si>
    <t>Gym Franchise Co</t>
  </si>
  <si>
    <t>Laura King</t>
  </si>
  <si>
    <t>Phoenix</t>
  </si>
  <si>
    <t>C017</t>
  </si>
  <si>
    <t>Fast Food Distributors</t>
  </si>
  <si>
    <t>Daniel Scott</t>
  </si>
  <si>
    <t>Milwaukee</t>
  </si>
  <si>
    <t>C018</t>
  </si>
  <si>
    <t>Theme Park Services</t>
  </si>
  <si>
    <t>Michelle Green</t>
  </si>
  <si>
    <t>Tampa</t>
  </si>
  <si>
    <t>C019</t>
  </si>
  <si>
    <t>Hospital Network East</t>
  </si>
  <si>
    <t>Andrew Adams</t>
  </si>
  <si>
    <t>Baltimore</t>
  </si>
  <si>
    <t>C020</t>
  </si>
  <si>
    <t>Casino Resort Group</t>
  </si>
  <si>
    <t>Jessica Baker</t>
  </si>
  <si>
    <t>Las Vegas</t>
  </si>
  <si>
    <t>Rep ID</t>
  </si>
  <si>
    <t>Rep Name</t>
  </si>
  <si>
    <t>Email</t>
  </si>
  <si>
    <t>Territory</t>
  </si>
  <si>
    <t>Hire Date</t>
  </si>
  <si>
    <t>Base Salary ($)</t>
  </si>
  <si>
    <t>Commission Rate %</t>
  </si>
  <si>
    <t>Phone</t>
  </si>
  <si>
    <t>Manager</t>
  </si>
  <si>
    <t>SR001</t>
  </si>
  <si>
    <t>sjohnson@zava.com</t>
  </si>
  <si>
    <t>Great Lakes</t>
  </si>
  <si>
    <t>312-555-0101</t>
  </si>
  <si>
    <t>David Thompson</t>
  </si>
  <si>
    <t>SR002</t>
  </si>
  <si>
    <t>mchen@zava.com</t>
  </si>
  <si>
    <t>Gulf Coast</t>
  </si>
  <si>
    <t>713-555-0102</t>
  </si>
  <si>
    <t>SR003</t>
  </si>
  <si>
    <t>lwang@zava.com</t>
  </si>
  <si>
    <t>Atlantic</t>
  </si>
  <si>
    <t>212-555-0103</t>
  </si>
  <si>
    <t>Rachel Moore</t>
  </si>
  <si>
    <t>SR004</t>
  </si>
  <si>
    <t>tmartinez@zava.com</t>
  </si>
  <si>
    <t>Pacific</t>
  </si>
  <si>
    <t>310-555-0104</t>
  </si>
  <si>
    <t>SR005</t>
  </si>
  <si>
    <t>dthompson@zava.com</t>
  </si>
  <si>
    <t>Central</t>
  </si>
  <si>
    <t>312-555-0105</t>
  </si>
  <si>
    <t>VP Sales</t>
  </si>
  <si>
    <t>SR006</t>
  </si>
  <si>
    <t>rmoore@zava.com</t>
  </si>
  <si>
    <t>Northeast</t>
  </si>
  <si>
    <t>617-555-0106</t>
  </si>
  <si>
    <t>Order ID</t>
  </si>
  <si>
    <t>Order Date</t>
  </si>
  <si>
    <t>Customer Name</t>
  </si>
  <si>
    <t>Quantity</t>
  </si>
  <si>
    <t>Total Revenue ($)</t>
  </si>
  <si>
    <t>Profit ($)</t>
  </si>
  <si>
    <t>Sales Rep</t>
  </si>
  <si>
    <t>Payment Status</t>
  </si>
  <si>
    <t>ORD001</t>
  </si>
  <si>
    <t>Paid</t>
  </si>
  <si>
    <t>ORD002</t>
  </si>
  <si>
    <t>ORD003</t>
  </si>
  <si>
    <t>ORD004</t>
  </si>
  <si>
    <t>ORD005</t>
  </si>
  <si>
    <t>ORD006</t>
  </si>
  <si>
    <t>ORD007</t>
  </si>
  <si>
    <t>ORD008</t>
  </si>
  <si>
    <t>ORD009</t>
  </si>
  <si>
    <t>ORD010</t>
  </si>
  <si>
    <t>ORD011</t>
  </si>
  <si>
    <t>ORD012</t>
  </si>
  <si>
    <t>ORD013</t>
  </si>
  <si>
    <t>ORD014</t>
  </si>
  <si>
    <t>ORD015</t>
  </si>
  <si>
    <t>ORD016</t>
  </si>
  <si>
    <t>ORD017</t>
  </si>
  <si>
    <t>ORD018</t>
  </si>
  <si>
    <t>ORD019</t>
  </si>
  <si>
    <t>ORD020</t>
  </si>
  <si>
    <t>ORD021</t>
  </si>
  <si>
    <t>ORD022</t>
  </si>
  <si>
    <t>ORD023</t>
  </si>
  <si>
    <t>ORD024</t>
  </si>
  <si>
    <t>ORD025</t>
  </si>
  <si>
    <t>ORD026</t>
  </si>
  <si>
    <t>ORD027</t>
  </si>
  <si>
    <t>ORD028</t>
  </si>
  <si>
    <t>ORD029</t>
  </si>
  <si>
    <t>ORD030</t>
  </si>
  <si>
    <t>Pending</t>
  </si>
  <si>
    <t>ORD031</t>
  </si>
  <si>
    <t>ORD032</t>
  </si>
  <si>
    <t>ORD033</t>
  </si>
  <si>
    <t>ORD034</t>
  </si>
  <si>
    <t>ORD035</t>
  </si>
  <si>
    <t>ORD036</t>
  </si>
  <si>
    <t>ORD037</t>
  </si>
  <si>
    <t>ORD038</t>
  </si>
  <si>
    <t>ORD039</t>
  </si>
  <si>
    <t>ORD040</t>
  </si>
  <si>
    <t>ORD041</t>
  </si>
  <si>
    <t>ORD042</t>
  </si>
  <si>
    <t>ORD043</t>
  </si>
  <si>
    <t>ORD044</t>
  </si>
  <si>
    <t>ORD045</t>
  </si>
  <si>
    <t>ORD046</t>
  </si>
  <si>
    <t>ORD047</t>
  </si>
  <si>
    <t>ORD048</t>
  </si>
  <si>
    <t>ORD049</t>
  </si>
  <si>
    <t>ORD050</t>
  </si>
  <si>
    <t>ZAVA BOTTLING - SALES TARGETS &amp; KPIs 2024</t>
  </si>
  <si>
    <t>MONTHLY SALES TARGETS BY REGION</t>
  </si>
  <si>
    <t>Month</t>
  </si>
  <si>
    <t>North Target</t>
  </si>
  <si>
    <t>North Actual</t>
  </si>
  <si>
    <t>North %</t>
  </si>
  <si>
    <t>South Target</t>
  </si>
  <si>
    <t>South Actual</t>
  </si>
  <si>
    <t>South %</t>
  </si>
  <si>
    <t>East Target</t>
  </si>
  <si>
    <t>East Actual</t>
  </si>
  <si>
    <t>East %</t>
  </si>
  <si>
    <t>West Target</t>
  </si>
  <si>
    <t>West Actual</t>
  </si>
  <si>
    <t>West %</t>
  </si>
  <si>
    <t>January</t>
  </si>
  <si>
    <t>February</t>
  </si>
  <si>
    <t>March</t>
  </si>
  <si>
    <t>April</t>
  </si>
  <si>
    <t>May</t>
  </si>
  <si>
    <t>KEY PERFORMANCE INDICATORS</t>
  </si>
  <si>
    <t>KPI Metric</t>
  </si>
  <si>
    <t>Target</t>
  </si>
  <si>
    <t>Actual</t>
  </si>
  <si>
    <t>Total Revenue YTD</t>
  </si>
  <si>
    <t>Average Order Value</t>
  </si>
  <si>
    <t>Total Orders</t>
  </si>
  <si>
    <t>Profit Margin %</t>
  </si>
  <si>
    <t>Active Customers</t>
  </si>
  <si>
    <t>Opportunity ID</t>
  </si>
  <si>
    <t>Customer</t>
  </si>
  <si>
    <t>Contact</t>
  </si>
  <si>
    <t>Product Interest</t>
  </si>
  <si>
    <t>Est. Value ($)</t>
  </si>
  <si>
    <t>Probability %</t>
  </si>
  <si>
    <t>Weighted Value ($)</t>
  </si>
  <si>
    <t>Stage</t>
  </si>
  <si>
    <t>Expected Close</t>
  </si>
  <si>
    <t>Next Action</t>
  </si>
  <si>
    <t>Days in Stage</t>
  </si>
  <si>
    <t>Notes</t>
  </si>
  <si>
    <t>OPP001</t>
  </si>
  <si>
    <t>National Grocery Chain</t>
  </si>
  <si>
    <t>Robert Smith</t>
  </si>
  <si>
    <t>Full Product Line</t>
  </si>
  <si>
    <t>Negotiation</t>
  </si>
  <si>
    <t>Send final proposal</t>
  </si>
  <si>
    <t>Very interested in exclusive deal</t>
  </si>
  <si>
    <t>OPP002</t>
  </si>
  <si>
    <t>Regional Hospital Network</t>
  </si>
  <si>
    <t>Dr. Amy Chen</t>
  </si>
  <si>
    <t>Water &amp; Tea Products</t>
  </si>
  <si>
    <t>Proposal</t>
  </si>
  <si>
    <t>Schedule demo</t>
  </si>
  <si>
    <t>Need to meet compliance requirements</t>
  </si>
  <si>
    <t>OPP003</t>
  </si>
  <si>
    <t>Stadium Concessions Inc</t>
  </si>
  <si>
    <t>Mike Turner</t>
  </si>
  <si>
    <t>Sports &amp; Energy Drinks</t>
  </si>
  <si>
    <t>Negotiate pricing</t>
  </si>
  <si>
    <t>Competing with two other vendors</t>
  </si>
  <si>
    <t>OPP004</t>
  </si>
  <si>
    <t>University System</t>
  </si>
  <si>
    <t>Dean Williams</t>
  </si>
  <si>
    <t>All Beverages</t>
  </si>
  <si>
    <t>Qualification</t>
  </si>
  <si>
    <t>Identify decision makers</t>
  </si>
  <si>
    <t>Long procurement process</t>
  </si>
  <si>
    <t>OPP005</t>
  </si>
  <si>
    <t>Fitness Center Chain</t>
  </si>
  <si>
    <t>Laura Green</t>
  </si>
  <si>
    <t>Sports Hydrate Line</t>
  </si>
  <si>
    <t>Closing</t>
  </si>
  <si>
    <t>Get signed contract</t>
  </si>
  <si>
    <t>Ready to close</t>
  </si>
  <si>
    <t>OPP006</t>
  </si>
  <si>
    <t>Hotel Resort Group</t>
  </si>
  <si>
    <t>James Wilson</t>
  </si>
  <si>
    <t>Sparkling &amp; Premium Water</t>
  </si>
  <si>
    <t>Present ROI analysis</t>
  </si>
  <si>
    <t>Budget approval pending</t>
  </si>
  <si>
    <t>OPP007</t>
  </si>
  <si>
    <t>Quick Service Restaurant</t>
  </si>
  <si>
    <t>Nancy Lee</t>
  </si>
  <si>
    <t>Address concerns</t>
  </si>
  <si>
    <t>Price sensitive</t>
  </si>
  <si>
    <t>OPP008</t>
  </si>
  <si>
    <t>Airport Authority</t>
  </si>
  <si>
    <t>Tom Black</t>
  </si>
  <si>
    <t>Full Beverage Range</t>
  </si>
  <si>
    <t>Submit RFP response</t>
  </si>
  <si>
    <t>Formal bid process</t>
  </si>
  <si>
    <t>OPP009</t>
  </si>
  <si>
    <t>Corporate Campus</t>
  </si>
  <si>
    <t>Ellen White</t>
  </si>
  <si>
    <t>Water &amp; Tea</t>
  </si>
  <si>
    <t>Finalize delivery schedule</t>
  </si>
  <si>
    <t>Verbal commitment received</t>
  </si>
  <si>
    <t>OPP010</t>
  </si>
  <si>
    <t>Amusement Park</t>
  </si>
  <si>
    <t>Gary Moore</t>
  </si>
  <si>
    <t>All Products</t>
  </si>
  <si>
    <t>Volume discount discussion</t>
  </si>
  <si>
    <t>Multi-year contract possible</t>
  </si>
  <si>
    <t>OPP011</t>
  </si>
  <si>
    <t>School District</t>
  </si>
  <si>
    <t>Principal Adams</t>
  </si>
  <si>
    <t>Juices &amp; Water</t>
  </si>
  <si>
    <t>Present healthy options</t>
  </si>
  <si>
    <t>Health-focused requirements</t>
  </si>
  <si>
    <t>OPP012</t>
  </si>
  <si>
    <t>Convention Center</t>
  </si>
  <si>
    <t>Sarah Davis</t>
  </si>
  <si>
    <t>Energy &amp; Sports</t>
  </si>
  <si>
    <t>Schedule site visit</t>
  </si>
  <si>
    <t>New venue opening</t>
  </si>
  <si>
    <t>Current Stock</t>
  </si>
  <si>
    <t>Reorder Level</t>
  </si>
  <si>
    <t>Reorder Qty</t>
  </si>
  <si>
    <t>Warehouse</t>
  </si>
  <si>
    <t>Last Restock Date</t>
  </si>
  <si>
    <t>Unit Cost ($)</t>
  </si>
  <si>
    <t>Inventory Value ($)</t>
  </si>
  <si>
    <t>Days Supply</t>
  </si>
  <si>
    <t>Zava Spring Water 0.5L</t>
  </si>
  <si>
    <t>Main</t>
  </si>
  <si>
    <t>Zava Spring Water 1.0L</t>
  </si>
  <si>
    <t>Zava Spring Water 1.5L</t>
  </si>
  <si>
    <t>Zava Sparkling Water 0.5L</t>
  </si>
  <si>
    <t>Zava Sparkling Water 1.0L</t>
  </si>
  <si>
    <t>Zava Cola Classic 0.33L</t>
  </si>
  <si>
    <t>Zava Cola Classic 0.5L</t>
  </si>
  <si>
    <t>Zava Cola Classic 1.5L</t>
  </si>
  <si>
    <t>Zava Orange Burst 0.33L</t>
  </si>
  <si>
    <t>Zava Orange Burst 0.5L</t>
  </si>
  <si>
    <t>Zava Lemon Fizz 0.33L</t>
  </si>
  <si>
    <t>Zava Lemon Fizz 0.5L</t>
  </si>
  <si>
    <t>Zava Energy Rush 0.25L</t>
  </si>
  <si>
    <t>Zava Energy Rush 0.5L</t>
  </si>
  <si>
    <t>Zava Sports Hydrate 0.5L</t>
  </si>
  <si>
    <t>Zava Sports Hydrate 1.0L</t>
  </si>
  <si>
    <t>Zava Green Tea 0.5L</t>
  </si>
  <si>
    <t>Zava Iced Tea Lemon 0.5L</t>
  </si>
  <si>
    <t>Zava Juice Apple 0.33L</t>
  </si>
  <si>
    <t>Zava Juice Orange 0.33L</t>
  </si>
  <si>
    <t>Total Profit YTD</t>
  </si>
  <si>
    <t>Avg Order Value</t>
  </si>
  <si>
    <t>Profit Margin</t>
  </si>
  <si>
    <t>Pipeline Value</t>
  </si>
  <si>
    <t>Forecast (Weighted)</t>
  </si>
  <si>
    <t>Revenue</t>
  </si>
  <si>
    <t>Orders</t>
  </si>
  <si>
    <t>TOTAL</t>
  </si>
  <si>
    <t>Units Sold</t>
  </si>
  <si>
    <t>ORD051</t>
  </si>
  <si>
    <t>ORD052</t>
  </si>
  <si>
    <t>ORD053</t>
  </si>
  <si>
    <t>ORD054</t>
  </si>
  <si>
    <t>ORD055</t>
  </si>
  <si>
    <t>ORD056</t>
  </si>
  <si>
    <t>ORD057</t>
  </si>
  <si>
    <t>ORD058</t>
  </si>
  <si>
    <t>ORD059</t>
  </si>
  <si>
    <t>ORD060</t>
  </si>
  <si>
    <t>ORD061</t>
  </si>
  <si>
    <t>ORD062</t>
  </si>
  <si>
    <t>ORD063</t>
  </si>
  <si>
    <t>ORD064</t>
  </si>
  <si>
    <t>ORD065</t>
  </si>
  <si>
    <t>ORD066</t>
  </si>
  <si>
    <t>ORD067</t>
  </si>
  <si>
    <t>ORD068</t>
  </si>
  <si>
    <t>ORD069</t>
  </si>
  <si>
    <t>ORD070</t>
  </si>
  <si>
    <t>ORD071</t>
  </si>
  <si>
    <t>ORD072</t>
  </si>
  <si>
    <t>ORD073</t>
  </si>
  <si>
    <t>ORD074</t>
  </si>
  <si>
    <t>ORD075</t>
  </si>
  <si>
    <t>ORD076</t>
  </si>
  <si>
    <t>ORD077</t>
  </si>
  <si>
    <t>ORD078</t>
  </si>
  <si>
    <t>ORD079</t>
  </si>
  <si>
    <t>ORD080</t>
  </si>
  <si>
    <t>ORD081</t>
  </si>
  <si>
    <t>ORD082</t>
  </si>
  <si>
    <t>ORD083</t>
  </si>
  <si>
    <t>ORD084</t>
  </si>
  <si>
    <t>ORD085</t>
  </si>
  <si>
    <t>ORD086</t>
  </si>
  <si>
    <t>ORD087</t>
  </si>
  <si>
    <t>ORD088</t>
  </si>
  <si>
    <t>ORD089</t>
  </si>
  <si>
    <t>ORD090</t>
  </si>
  <si>
    <t>ORD091</t>
  </si>
  <si>
    <t>ORD092</t>
  </si>
  <si>
    <t>ORD093</t>
  </si>
  <si>
    <t>ORD094</t>
  </si>
  <si>
    <t>ORD095</t>
  </si>
  <si>
    <t>ORD096</t>
  </si>
  <si>
    <t>ORD097</t>
  </si>
  <si>
    <t>ORD098</t>
  </si>
  <si>
    <t>ORD099</t>
  </si>
  <si>
    <t>ORD100</t>
  </si>
  <si>
    <t>ORD101</t>
  </si>
  <si>
    <t>ORD102</t>
  </si>
  <si>
    <t>ORD103</t>
  </si>
  <si>
    <t>ORD104</t>
  </si>
  <si>
    <t>ORD105</t>
  </si>
  <si>
    <t>ORD106</t>
  </si>
  <si>
    <t>ORD107</t>
  </si>
  <si>
    <t>ORD108</t>
  </si>
  <si>
    <t>ORD109</t>
  </si>
  <si>
    <t>ORD110</t>
  </si>
  <si>
    <t>ORD111</t>
  </si>
  <si>
    <t>ORD112</t>
  </si>
  <si>
    <t>ORD113</t>
  </si>
  <si>
    <t>ORD114</t>
  </si>
  <si>
    <t>ORD115</t>
  </si>
  <si>
    <t>ORD116</t>
  </si>
  <si>
    <t>ORD117</t>
  </si>
  <si>
    <t>ORD118</t>
  </si>
  <si>
    <t>ORD119</t>
  </si>
  <si>
    <t>June</t>
  </si>
  <si>
    <t>July</t>
  </si>
  <si>
    <t>August</t>
  </si>
  <si>
    <t>September</t>
  </si>
  <si>
    <t>October</t>
  </si>
  <si>
    <t>November</t>
  </si>
  <si>
    <t>December</t>
  </si>
  <si>
    <t>SALES REP PERFORMANCE - FULL YEAR 2024</t>
  </si>
  <si>
    <t>Annual Target</t>
  </si>
  <si>
    <t>Annual Actual</t>
  </si>
  <si>
    <t>Achievement %</t>
  </si>
  <si>
    <t>Commission Rate</t>
  </si>
  <si>
    <t>Earned Commission</t>
  </si>
  <si>
    <t>KEY PERFORMANCE INDICATORS - 2024</t>
  </si>
  <si>
    <t>Total Revenue</t>
  </si>
  <si>
    <t>Total Profit</t>
  </si>
  <si>
    <t>ZAVA BOTTLING - MONTHLY SALES TRENDS 2024</t>
  </si>
  <si>
    <t>Profit</t>
  </si>
  <si>
    <t>MoM Growth %</t>
  </si>
  <si>
    <t>TOTAL/AVG</t>
  </si>
  <si>
    <t>QUARTERLY SUMMARY</t>
  </si>
  <si>
    <t>Quarter</t>
  </si>
  <si>
    <t>QoQ Growth</t>
  </si>
  <si>
    <t>Q1</t>
  </si>
  <si>
    <t>Q2</t>
  </si>
  <si>
    <t>Q3</t>
  </si>
  <si>
    <t>Q4</t>
  </si>
  <si>
    <t>-</t>
  </si>
  <si>
    <t>CATEGORY PERFORMANCE ANALYSIS</t>
  </si>
  <si>
    <t>Avg Unit Price</t>
  </si>
  <si>
    <t>% of Total Revenue</t>
  </si>
  <si>
    <t>ORD120</t>
  </si>
  <si>
    <t>ORD121</t>
  </si>
  <si>
    <t>ORD122</t>
  </si>
  <si>
    <t>ORD123</t>
  </si>
  <si>
    <t>ORD124</t>
  </si>
  <si>
    <t>ORD125</t>
  </si>
  <si>
    <t>ORD126</t>
  </si>
  <si>
    <t>ORD127</t>
  </si>
  <si>
    <t>ORD128</t>
  </si>
  <si>
    <t>ORD129</t>
  </si>
  <si>
    <t>ORD130</t>
  </si>
  <si>
    <t>ORD131</t>
  </si>
  <si>
    <t>ORD132</t>
  </si>
  <si>
    <t>ORD133</t>
  </si>
  <si>
    <t>ORD134</t>
  </si>
  <si>
    <t>ORD135</t>
  </si>
  <si>
    <t>ORD136</t>
  </si>
  <si>
    <t>ORD137</t>
  </si>
  <si>
    <t>ORD138</t>
  </si>
  <si>
    <t>ORD139</t>
  </si>
  <si>
    <t>ORD140</t>
  </si>
  <si>
    <t>ORD141</t>
  </si>
  <si>
    <t>ORD142</t>
  </si>
  <si>
    <t>ORD143</t>
  </si>
  <si>
    <t>ORD144</t>
  </si>
  <si>
    <t>ORD145</t>
  </si>
  <si>
    <t>ORD146</t>
  </si>
  <si>
    <t>ORD147</t>
  </si>
  <si>
    <t>ORD148</t>
  </si>
  <si>
    <t>ORD149</t>
  </si>
  <si>
    <t>ORD150</t>
  </si>
  <si>
    <t>ORD151</t>
  </si>
  <si>
    <t>ORD152</t>
  </si>
  <si>
    <t>ORD153</t>
  </si>
  <si>
    <t>ORD154</t>
  </si>
  <si>
    <t>ORD155</t>
  </si>
  <si>
    <t>ORD156</t>
  </si>
  <si>
    <t>ORD157</t>
  </si>
  <si>
    <t>ORD158</t>
  </si>
  <si>
    <t>ORD159</t>
  </si>
  <si>
    <t>ORD160</t>
  </si>
  <si>
    <t>ORD161</t>
  </si>
  <si>
    <t>ORD162</t>
  </si>
  <si>
    <t>ORD163</t>
  </si>
  <si>
    <t>ORD164</t>
  </si>
  <si>
    <t>ORD165</t>
  </si>
  <si>
    <t>ORD166</t>
  </si>
  <si>
    <t>ORD167</t>
  </si>
  <si>
    <t>ORD168</t>
  </si>
  <si>
    <t>ORD169</t>
  </si>
  <si>
    <t>ORD170</t>
  </si>
  <si>
    <t>ORD171</t>
  </si>
  <si>
    <t>ORD172</t>
  </si>
  <si>
    <t>ORD173</t>
  </si>
  <si>
    <t>ORD174</t>
  </si>
  <si>
    <t>ORD175</t>
  </si>
  <si>
    <t>ORD176</t>
  </si>
  <si>
    <t>ORD177</t>
  </si>
  <si>
    <t>ORD178</t>
  </si>
  <si>
    <t>ORD179</t>
  </si>
  <si>
    <t>ORD180</t>
  </si>
  <si>
    <t>ORD181</t>
  </si>
  <si>
    <t>ORD182</t>
  </si>
  <si>
    <t>ORD183</t>
  </si>
  <si>
    <t>ORD184</t>
  </si>
  <si>
    <t>ORD185</t>
  </si>
  <si>
    <t>ORD186</t>
  </si>
  <si>
    <t>ORD187</t>
  </si>
  <si>
    <t>ORD188</t>
  </si>
  <si>
    <t>ORD189</t>
  </si>
  <si>
    <t>ORD190</t>
  </si>
  <si>
    <t>ORD191</t>
  </si>
  <si>
    <t>ORD192</t>
  </si>
  <si>
    <t>ORD193</t>
  </si>
  <si>
    <t>ORD194</t>
  </si>
  <si>
    <t>ORD195</t>
  </si>
  <si>
    <t>ORD196</t>
  </si>
  <si>
    <t>ORD197</t>
  </si>
  <si>
    <t>ORD198</t>
  </si>
  <si>
    <t>ORD199</t>
  </si>
  <si>
    <t>ORD200</t>
  </si>
  <si>
    <t>ORD201</t>
  </si>
  <si>
    <t>ORD202</t>
  </si>
  <si>
    <t>ORD203</t>
  </si>
  <si>
    <t>ORD204</t>
  </si>
  <si>
    <t>ORD205</t>
  </si>
  <si>
    <t>ORD206</t>
  </si>
  <si>
    <t>ORD207</t>
  </si>
  <si>
    <t>ORD208</t>
  </si>
  <si>
    <t>ORD209</t>
  </si>
  <si>
    <t>ORD210</t>
  </si>
  <si>
    <t>ORD211</t>
  </si>
  <si>
    <t>ORD212</t>
  </si>
  <si>
    <t>ORD213</t>
  </si>
  <si>
    <t>ORD214</t>
  </si>
  <si>
    <t>ORD215</t>
  </si>
  <si>
    <t>ORD216</t>
  </si>
  <si>
    <t>ORD217</t>
  </si>
  <si>
    <t>ORD218</t>
  </si>
  <si>
    <t>ORD219</t>
  </si>
  <si>
    <t>ORD220</t>
  </si>
  <si>
    <t>ORD221</t>
  </si>
  <si>
    <t>ORD222</t>
  </si>
  <si>
    <t>ORD223</t>
  </si>
  <si>
    <t>ORD224</t>
  </si>
  <si>
    <t>ORD225</t>
  </si>
  <si>
    <t>ORD226</t>
  </si>
  <si>
    <t>ORD227</t>
  </si>
  <si>
    <t>ORD228</t>
  </si>
  <si>
    <t>ORD229</t>
  </si>
  <si>
    <t>ORD230</t>
  </si>
  <si>
    <t>ORD231</t>
  </si>
  <si>
    <t>ORD232</t>
  </si>
  <si>
    <t>ORD233</t>
  </si>
  <si>
    <t>ORD234</t>
  </si>
  <si>
    <t>ORD235</t>
  </si>
  <si>
    <t>ORD236</t>
  </si>
  <si>
    <t>ORD237</t>
  </si>
  <si>
    <t>ORD238</t>
  </si>
  <si>
    <t>ORD239</t>
  </si>
  <si>
    <t>ORD240</t>
  </si>
  <si>
    <t>ORD241</t>
  </si>
  <si>
    <t>ORD242</t>
  </si>
  <si>
    <t>ORD243</t>
  </si>
  <si>
    <t>ORD244</t>
  </si>
  <si>
    <t>ORD245</t>
  </si>
  <si>
    <t>ORD246</t>
  </si>
  <si>
    <t>ORD247</t>
  </si>
  <si>
    <t>ORD248</t>
  </si>
  <si>
    <t>ORD249</t>
  </si>
  <si>
    <t>ORD250</t>
  </si>
  <si>
    <t>ORD251</t>
  </si>
  <si>
    <t>ORD252</t>
  </si>
  <si>
    <t>ORD253</t>
  </si>
  <si>
    <t>ORD254</t>
  </si>
  <si>
    <t>ORD255</t>
  </si>
  <si>
    <t>ORD256</t>
  </si>
  <si>
    <t>ORD257</t>
  </si>
  <si>
    <t>ORD258</t>
  </si>
  <si>
    <t>ORD259</t>
  </si>
  <si>
    <t>ORD260</t>
  </si>
  <si>
    <t>ORD261</t>
  </si>
  <si>
    <t>ORD262</t>
  </si>
  <si>
    <t>ORD263</t>
  </si>
  <si>
    <t>C021</t>
  </si>
  <si>
    <t>Riverside Convention Center</t>
  </si>
  <si>
    <t>Mark Thompson</t>
  </si>
  <si>
    <t>Indianapolis</t>
  </si>
  <si>
    <t>C022</t>
  </si>
  <si>
    <t>Mountain View Resorts</t>
  </si>
  <si>
    <t>Jennifer Clark</t>
  </si>
  <si>
    <t>Denver</t>
  </si>
  <si>
    <t>C023</t>
  </si>
  <si>
    <t>Coastal Fitness Centers</t>
  </si>
  <si>
    <t>Ryan Mitchell</t>
  </si>
  <si>
    <t>Jacksonville</t>
  </si>
  <si>
    <t>C024</t>
  </si>
  <si>
    <t>Valley Medical Center</t>
  </si>
  <si>
    <t>Dr. Sarah Kim</t>
  </si>
  <si>
    <t>Pittsburgh</t>
  </si>
  <si>
    <t>C025</t>
  </si>
  <si>
    <t>Sunset Cinema Group</t>
  </si>
  <si>
    <t>David Brown</t>
  </si>
  <si>
    <t>San Diego</t>
  </si>
  <si>
    <t>C026</t>
  </si>
  <si>
    <t>Great Lakes University</t>
  </si>
  <si>
    <t>Prof. James Wilson</t>
  </si>
  <si>
    <t>Ann Arbor</t>
  </si>
  <si>
    <t>C027</t>
  </si>
  <si>
    <t>Harbor Hotels Inc</t>
  </si>
  <si>
    <t>Michelle Lee</t>
  </si>
  <si>
    <t>New Orleans</t>
  </si>
  <si>
    <t>C028</t>
  </si>
  <si>
    <t>Metro Transit Cafeterias</t>
  </si>
  <si>
    <t>Carlos Rodriguez</t>
  </si>
  <si>
    <t>Washington DC</t>
  </si>
  <si>
    <t>Transportation</t>
  </si>
  <si>
    <t>C029</t>
  </si>
  <si>
    <t>Prairie Convenience Stores</t>
  </si>
  <si>
    <t>Linda Johnson</t>
  </si>
  <si>
    <t>Omaha</t>
  </si>
  <si>
    <t>C030</t>
  </si>
  <si>
    <t>Desert Springs Golf Club</t>
  </si>
  <si>
    <t>Robert Taylor</t>
  </si>
  <si>
    <t>Scottsdale</t>
  </si>
  <si>
    <t>Recreation</t>
  </si>
  <si>
    <t>C031</t>
  </si>
  <si>
    <t>Bayview Medical Group</t>
  </si>
  <si>
    <t>Dr. Emily Watson</t>
  </si>
  <si>
    <t>Galveston</t>
  </si>
  <si>
    <t>C032</t>
  </si>
  <si>
    <t>Lakeside Amusement Park</t>
  </si>
  <si>
    <t>Kevin O'Brien</t>
  </si>
  <si>
    <t>C033</t>
  </si>
  <si>
    <t>Pacific Northwest Grocers</t>
  </si>
  <si>
    <t>Amy Chen</t>
  </si>
  <si>
    <t>Portland</t>
  </si>
  <si>
    <t>C034</t>
  </si>
  <si>
    <t>Sunshine State Schools</t>
  </si>
  <si>
    <t>Principal Martinez</t>
  </si>
  <si>
    <t>Fort Lauderdale</t>
  </si>
  <si>
    <t>C035</t>
  </si>
  <si>
    <t>Empire State Delis</t>
  </si>
  <si>
    <t>Tony Russo</t>
  </si>
  <si>
    <t>Brooklyn</t>
  </si>
  <si>
    <t>C036</t>
  </si>
  <si>
    <t>Rocky Mountain Sports Complex</t>
  </si>
  <si>
    <t>Steve Adams</t>
  </si>
  <si>
    <t>Salt Lake City</t>
  </si>
  <si>
    <t>C037</t>
  </si>
  <si>
    <t>Heartland Hospitals</t>
  </si>
  <si>
    <t>Dr. Karen White</t>
  </si>
  <si>
    <t>Kansas City</t>
  </si>
  <si>
    <t>C038</t>
  </si>
  <si>
    <t>Gulf Coast Cruise Lines</t>
  </si>
  <si>
    <t>Captain James</t>
  </si>
  <si>
    <t>Mobile</t>
  </si>
  <si>
    <t>C039</t>
  </si>
  <si>
    <t>Northeast University System</t>
  </si>
  <si>
    <t>Providence</t>
  </si>
  <si>
    <t>C040</t>
  </si>
  <si>
    <t>Silicon Valley Cafeterias</t>
  </si>
  <si>
    <t>Tech Lead Sandra</t>
  </si>
  <si>
    <t>San Jose</t>
  </si>
  <si>
    <t>C041</t>
  </si>
  <si>
    <t>Midwest Convention Hotels</t>
  </si>
  <si>
    <t>Frank Miller</t>
  </si>
  <si>
    <t>Columbus</t>
  </si>
  <si>
    <t>C042</t>
  </si>
  <si>
    <t>Southern Fitness Alliance</t>
  </si>
  <si>
    <t>Trainer Mike</t>
  </si>
  <si>
    <t>Charlotte</t>
  </si>
  <si>
    <t>C043</t>
  </si>
  <si>
    <t>Atlantic City Casinos</t>
  </si>
  <si>
    <t>Gaming Director Lisa</t>
  </si>
  <si>
    <t>Atlantic City</t>
  </si>
  <si>
    <t>C044</t>
  </si>
  <si>
    <t>Southwest Airlines Catering</t>
  </si>
  <si>
    <t>Flight Ops Manager</t>
  </si>
  <si>
    <t>C045</t>
  </si>
  <si>
    <t>Great Plains Schools</t>
  </si>
  <si>
    <t>Superintendent Davis</t>
  </si>
  <si>
    <t>Lincoln</t>
  </si>
  <si>
    <t>C046</t>
  </si>
  <si>
    <t>Tropical Resort Collection</t>
  </si>
  <si>
    <t>Resort Manager Ana</t>
  </si>
  <si>
    <t>Key West</t>
  </si>
  <si>
    <t>C047</t>
  </si>
  <si>
    <t>Metro Area Hospitals</t>
  </si>
  <si>
    <t>CFO Johnson</t>
  </si>
  <si>
    <t>Newark</t>
  </si>
  <si>
    <t>C048</t>
  </si>
  <si>
    <t>Mountain Athletic Clubs</t>
  </si>
  <si>
    <t>Fitness Dir. Brown</t>
  </si>
  <si>
    <t>Albuquerque</t>
  </si>
  <si>
    <t>C049</t>
  </si>
  <si>
    <t>Northern Retail Alliance</t>
  </si>
  <si>
    <t>Buyer Thompson</t>
  </si>
  <si>
    <t>Grand Rapids</t>
  </si>
  <si>
    <t>C050</t>
  </si>
  <si>
    <t>Coastal Theme Parks</t>
  </si>
  <si>
    <t>Operations VP</t>
  </si>
  <si>
    <t>Myrtle Beach</t>
  </si>
  <si>
    <t>C051</t>
  </si>
  <si>
    <t>River City Restaurants</t>
  </si>
  <si>
    <t>Chef Marco</t>
  </si>
  <si>
    <t>Cincinnati</t>
  </si>
  <si>
    <t>C052</t>
  </si>
  <si>
    <t>Desert Valley Hotels</t>
  </si>
  <si>
    <t>GM Peterson</t>
  </si>
  <si>
    <t>Tucson</t>
  </si>
  <si>
    <t>C053</t>
  </si>
  <si>
    <t>Lakefront Sports Arena</t>
  </si>
  <si>
    <t>Arena Manager</t>
  </si>
  <si>
    <t>C054</t>
  </si>
  <si>
    <t>Bayshore Medical Centers</t>
  </si>
  <si>
    <t>Dr. Patel</t>
  </si>
  <si>
    <t>Corpus Christi</t>
  </si>
  <si>
    <t>C055</t>
  </si>
  <si>
    <t>Mountain Schools District</t>
  </si>
  <si>
    <t>Superintendent Lee</t>
  </si>
  <si>
    <t>Colorado Springs</t>
  </si>
  <si>
    <t>C056</t>
  </si>
  <si>
    <t>East Coast Convenience</t>
  </si>
  <si>
    <t>Regional Mgr Smith</t>
  </si>
  <si>
    <t>Hartford</t>
  </si>
  <si>
    <t>C057</t>
  </si>
  <si>
    <t>Plains State University</t>
  </si>
  <si>
    <t>Dining Services Dir</t>
  </si>
  <si>
    <t>Madison</t>
  </si>
  <si>
    <t>C058</t>
  </si>
  <si>
    <t>Gulf Resort Properties</t>
  </si>
  <si>
    <t>Property Manager</t>
  </si>
  <si>
    <t>Biloxi</t>
  </si>
  <si>
    <t>C059</t>
  </si>
  <si>
    <t>Metropolitan Gyms</t>
  </si>
  <si>
    <t>Owner Williams</t>
  </si>
  <si>
    <t>Richmond</t>
  </si>
  <si>
    <t>C060</t>
  </si>
  <si>
    <t>Pacific Pier Entertainment</t>
  </si>
  <si>
    <t>Entertainment Dir</t>
  </si>
  <si>
    <t>Long Beach</t>
  </si>
  <si>
    <t>C061</t>
  </si>
  <si>
    <t>Midwest Healthcare System</t>
  </si>
  <si>
    <t>Procurement Dir</t>
  </si>
  <si>
    <t>St. Louis</t>
  </si>
  <si>
    <t>C062</t>
  </si>
  <si>
    <t>Southern Belle Cruises</t>
  </si>
  <si>
    <t>Cruise Director</t>
  </si>
  <si>
    <t>Savannah</t>
  </si>
  <si>
    <t>C063</t>
  </si>
  <si>
    <t>Northeast Transit Authority</t>
  </si>
  <si>
    <t>Concessions Mgr</t>
  </si>
  <si>
    <t>Buffalo</t>
  </si>
  <si>
    <t>C064</t>
  </si>
  <si>
    <t>High Desert Schools</t>
  </si>
  <si>
    <t>Purchasing Agent</t>
  </si>
  <si>
    <t>Reno</t>
  </si>
  <si>
    <t>C065</t>
  </si>
  <si>
    <t>Great Lakes Hotels</t>
  </si>
  <si>
    <t>F&amp;B Director</t>
  </si>
  <si>
    <t>Toledo</t>
  </si>
  <si>
    <t>C066</t>
  </si>
  <si>
    <t>Sunshine Sports Complex</t>
  </si>
  <si>
    <t>General Manager</t>
  </si>
  <si>
    <t>St. Petersburg</t>
  </si>
  <si>
    <t>C067</t>
  </si>
  <si>
    <t>Capital Region Hospitals</t>
  </si>
  <si>
    <t>Supply Chain Dir</t>
  </si>
  <si>
    <t>Albany</t>
  </si>
  <si>
    <t>C068</t>
  </si>
  <si>
    <t>Western Cinema Chains</t>
  </si>
  <si>
    <t>Procurement VP</t>
  </si>
  <si>
    <t>Sacramento</t>
  </si>
  <si>
    <t>C069</t>
  </si>
  <si>
    <t>Northern Deli Collective</t>
  </si>
  <si>
    <t>Franchise Owner</t>
  </si>
  <si>
    <t>Spokane</t>
  </si>
  <si>
    <t>C070</t>
  </si>
  <si>
    <t>Coastal College Network</t>
  </si>
  <si>
    <t>Food Services Dir</t>
  </si>
  <si>
    <t>Baton Rouge</t>
  </si>
  <si>
    <t>C071</t>
  </si>
  <si>
    <t>Atlantic Fitness Centers</t>
  </si>
  <si>
    <t>Operations Manager</t>
  </si>
  <si>
    <t>Wilmington</t>
  </si>
  <si>
    <t>C072</t>
  </si>
  <si>
    <t>Mountain Resort Group</t>
  </si>
  <si>
    <t>Resort Chain VP</t>
  </si>
  <si>
    <t>Boise</t>
  </si>
  <si>
    <t>C073</t>
  </si>
  <si>
    <t>Central States Arena</t>
  </si>
  <si>
    <t>Concessions Director</t>
  </si>
  <si>
    <t>Des Moines</t>
  </si>
  <si>
    <t>C074</t>
  </si>
  <si>
    <t>Gulf Medical Associates</t>
  </si>
  <si>
    <t>Admin Director</t>
  </si>
  <si>
    <t>Pensacola</t>
  </si>
  <si>
    <t>C075</t>
  </si>
  <si>
    <t>Pacific Schools District</t>
  </si>
  <si>
    <t>Business Manager</t>
  </si>
  <si>
    <t>Fresno</t>
  </si>
  <si>
    <t>C076</t>
  </si>
  <si>
    <t>Eastern Retail Markets</t>
  </si>
  <si>
    <t>Category Manager</t>
  </si>
  <si>
    <t>Syracuse</t>
  </si>
  <si>
    <t>C077</t>
  </si>
  <si>
    <t>Heartland Theme Parks</t>
  </si>
  <si>
    <t>Branson</t>
  </si>
  <si>
    <t>C078</t>
  </si>
  <si>
    <t>Southern University System</t>
  </si>
  <si>
    <t>Procurement Officer</t>
  </si>
  <si>
    <t>Auburn</t>
  </si>
  <si>
    <t>C079</t>
  </si>
  <si>
    <t>Mid-Atlantic Hotels</t>
  </si>
  <si>
    <t>Corporate Buyer</t>
  </si>
  <si>
    <t>Harrisburg</t>
  </si>
  <si>
    <t>C080</t>
  </si>
  <si>
    <t>West Coast Gyms</t>
  </si>
  <si>
    <t>Regional Director</t>
  </si>
  <si>
    <t>Oakland</t>
  </si>
  <si>
    <t>C081</t>
  </si>
  <si>
    <t>Lakeside Community Center</t>
  </si>
  <si>
    <t>Director Martinez</t>
  </si>
  <si>
    <t>Duluth</t>
  </si>
  <si>
    <t>C082</t>
  </si>
  <si>
    <t>Desert Medical Group</t>
  </si>
  <si>
    <t>Practice Manager</t>
  </si>
  <si>
    <t>El Paso</t>
  </si>
  <si>
    <t>C083</t>
  </si>
  <si>
    <t>Atlantic Convention Center</t>
  </si>
  <si>
    <t>Events Director</t>
  </si>
  <si>
    <t>Portland ME</t>
  </si>
  <si>
    <t>C084</t>
  </si>
  <si>
    <t>Coastal Community College</t>
  </si>
  <si>
    <t>Cafeteria Manager</t>
  </si>
  <si>
    <t>Wilmington NC</t>
  </si>
  <si>
    <t>C085</t>
  </si>
  <si>
    <t>Mountain View Convenience</t>
  </si>
  <si>
    <t>Store Owner</t>
  </si>
  <si>
    <t>C086</t>
  </si>
  <si>
    <t>Great Lakes Sports Club</t>
  </si>
  <si>
    <t>Club Manager</t>
  </si>
  <si>
    <t>Green Bay</t>
  </si>
  <si>
    <t>C087</t>
  </si>
  <si>
    <t>Southern Hospital Network</t>
  </si>
  <si>
    <t>Director of Ops</t>
  </si>
  <si>
    <t>Nashville</t>
  </si>
  <si>
    <t>C088</t>
  </si>
  <si>
    <t>Northeast Grocery Chain</t>
  </si>
  <si>
    <t>Beverage Buyer</t>
  </si>
  <si>
    <t>Manchester NH</t>
  </si>
  <si>
    <t>C089</t>
  </si>
  <si>
    <t>Pacific Entertainment Group</t>
  </si>
  <si>
    <t>Honolulu</t>
  </si>
  <si>
    <t>C090</t>
  </si>
  <si>
    <t>Central Schools Consortium</t>
  </si>
  <si>
    <t>Food Service Dir</t>
  </si>
  <si>
    <t>Springfield IL</t>
  </si>
  <si>
    <t>C091</t>
  </si>
  <si>
    <t>Gulf Airport Services</t>
  </si>
  <si>
    <t>Terminal Manager</t>
  </si>
  <si>
    <t>Birmingham</t>
  </si>
  <si>
    <t>C092</t>
  </si>
  <si>
    <t>Metro Restaurant Group</t>
  </si>
  <si>
    <t>Group Buyer</t>
  </si>
  <si>
    <t>Jersey City</t>
  </si>
  <si>
    <t>C093</t>
  </si>
  <si>
    <t>Western Hotel Alliance</t>
  </si>
  <si>
    <t>Alliance Buyer</t>
  </si>
  <si>
    <t>C094</t>
  </si>
  <si>
    <t>Northern Transit Systems</t>
  </si>
  <si>
    <t>Vendor Manager</t>
  </si>
  <si>
    <t>C095</t>
  </si>
  <si>
    <t>Southeastern Resorts</t>
  </si>
  <si>
    <t>F&amp;B VP</t>
  </si>
  <si>
    <t>Charleston SC</t>
  </si>
  <si>
    <t>C096</t>
  </si>
  <si>
    <t>Atlantic City Hotels</t>
  </si>
  <si>
    <t>Director Purchasing</t>
  </si>
  <si>
    <t>C097</t>
  </si>
  <si>
    <t>Rocky Mountain Schools</t>
  </si>
  <si>
    <t>District Buyer</t>
  </si>
  <si>
    <t>Cheyenne</t>
  </si>
  <si>
    <t>C098</t>
  </si>
  <si>
    <t>Great Plains Hospitals</t>
  </si>
  <si>
    <t>Materials Manager</t>
  </si>
  <si>
    <t>Sioux Falls</t>
  </si>
  <si>
    <t>C099</t>
  </si>
  <si>
    <t>Tropical Fitness Chain</t>
  </si>
  <si>
    <t>COO</t>
  </si>
  <si>
    <t>West Palm Beach</t>
  </si>
  <si>
    <t>C100</t>
  </si>
  <si>
    <t>Eastern Sports Complex</t>
  </si>
  <si>
    <t>Operations Director</t>
  </si>
  <si>
    <t>Trenton</t>
  </si>
  <si>
    <t>C101</t>
  </si>
  <si>
    <t>Pacific Cruise Lines</t>
  </si>
  <si>
    <t>Provisioning Manager</t>
  </si>
  <si>
    <t>C102</t>
  </si>
  <si>
    <t>Midwest Deli Chain</t>
  </si>
  <si>
    <t>Regional Buyer</t>
  </si>
  <si>
    <t>Louisville</t>
  </si>
  <si>
    <t>C103</t>
  </si>
  <si>
    <t>Southern Convention Hotels</t>
  </si>
  <si>
    <t>Corp Purchasing</t>
  </si>
  <si>
    <t>Memphis</t>
  </si>
  <si>
    <t>C104</t>
  </si>
  <si>
    <t>Northeast Medical System</t>
  </si>
  <si>
    <t>Supply Director</t>
  </si>
  <si>
    <t>Worcester</t>
  </si>
  <si>
    <t>C105</t>
  </si>
  <si>
    <t>Mountain Athletic Association</t>
  </si>
  <si>
    <t>League Admin</t>
  </si>
  <si>
    <t>Bozeman</t>
  </si>
  <si>
    <t>C106</t>
  </si>
  <si>
    <t>Central Community College</t>
  </si>
  <si>
    <t>Dining Manager</t>
  </si>
  <si>
    <t>Peoria</t>
  </si>
  <si>
    <t>C107</t>
  </si>
  <si>
    <t>Gulf Entertainment Group</t>
  </si>
  <si>
    <t>Purchasing VP</t>
  </si>
  <si>
    <t>C108</t>
  </si>
  <si>
    <t>Eastern Convenience Chain</t>
  </si>
  <si>
    <t>Supply Chain Mgr</t>
  </si>
  <si>
    <t>Scranton</t>
  </si>
  <si>
    <t>C109</t>
  </si>
  <si>
    <t>Western Wellness Centers</t>
  </si>
  <si>
    <t>Procurement Lead</t>
  </si>
  <si>
    <t>Bakersfield</t>
  </si>
  <si>
    <t>C110</t>
  </si>
  <si>
    <t>Northern Resort Collection</t>
  </si>
  <si>
    <t>Buyer</t>
  </si>
  <si>
    <t>Traverse City</t>
  </si>
  <si>
    <t>OPP013</t>
  </si>
  <si>
    <t>Regional Theater Network</t>
  </si>
  <si>
    <t>Director James</t>
  </si>
  <si>
    <t>Soft Drinks &amp; Snacks</t>
  </si>
  <si>
    <t>Present pricing options</t>
  </si>
  <si>
    <t>Multi-location deal</t>
  </si>
  <si>
    <t>OPP014</t>
  </si>
  <si>
    <t>Metro Hospital System</t>
  </si>
  <si>
    <t>Dr. Williams</t>
  </si>
  <si>
    <t>Complete vendor application</t>
  </si>
  <si>
    <t>Strict compliance requirements</t>
  </si>
  <si>
    <t>OPP015</t>
  </si>
  <si>
    <t>University Athletic Dept</t>
  </si>
  <si>
    <t>AD Smith</t>
  </si>
  <si>
    <t>Sports &amp; Energy</t>
  </si>
  <si>
    <t>Finalize volume terms</t>
  </si>
  <si>
    <t>3-year contract potential</t>
  </si>
  <si>
    <t>OPP016</t>
  </si>
  <si>
    <t>Downtown Restaurant Group</t>
  </si>
  <si>
    <t>Owner Chen</t>
  </si>
  <si>
    <t>Full Line</t>
  </si>
  <si>
    <t>Schedule signing</t>
  </si>
  <si>
    <t>Ready to commit</t>
  </si>
  <si>
    <t>OPP017</t>
  </si>
  <si>
    <t>Regional Airport Authority</t>
  </si>
  <si>
    <t>Director Brown</t>
  </si>
  <si>
    <t>Premium Water</t>
  </si>
  <si>
    <t>Formal bid required</t>
  </si>
  <si>
    <t>OPP018</t>
  </si>
  <si>
    <t>State Fair Grounds</t>
  </si>
  <si>
    <t>Events Manager</t>
  </si>
  <si>
    <t>Present seasonal plan</t>
  </si>
  <si>
    <t>Seasonal opportunity</t>
  </si>
  <si>
    <t>OPP019</t>
  </si>
  <si>
    <t>Corporate Campus Network</t>
  </si>
  <si>
    <t>Facilities Dir</t>
  </si>
  <si>
    <t>Water &amp; Sparkling</t>
  </si>
  <si>
    <t>Demo product range</t>
  </si>
  <si>
    <t>5 locations</t>
  </si>
  <si>
    <t>OPP020</t>
  </si>
  <si>
    <t>Private School Alliance</t>
  </si>
  <si>
    <t>Purchasing Coord</t>
  </si>
  <si>
    <t>Address health concerns</t>
  </si>
  <si>
    <t>Health-focused needs</t>
  </si>
  <si>
    <t>OPP021</t>
  </si>
  <si>
    <t>Beach Resort Chain</t>
  </si>
  <si>
    <t>Full Beverage Line</t>
  </si>
  <si>
    <t>Site visits scheduled</t>
  </si>
  <si>
    <t>8 properties</t>
  </si>
  <si>
    <t>OPP022</t>
  </si>
  <si>
    <t>Regional Gym Network</t>
  </si>
  <si>
    <t>Sports Hydrate</t>
  </si>
  <si>
    <t>Final contract review</t>
  </si>
  <si>
    <t>Verbal agreement</t>
  </si>
  <si>
    <t>OPP023</t>
  </si>
  <si>
    <t>Movie Multiplex Group</t>
  </si>
  <si>
    <t>Volume pricing proposal</t>
  </si>
  <si>
    <t>15 locations</t>
  </si>
  <si>
    <t>OPP024</t>
  </si>
  <si>
    <t>Healthcare Network East</t>
  </si>
  <si>
    <t>Supply Chain</t>
  </si>
  <si>
    <t>Water Products</t>
  </si>
  <si>
    <t>Compliance documentation</t>
  </si>
  <si>
    <t>Hospital requirements</t>
  </si>
  <si>
    <t>OPP025</t>
  </si>
  <si>
    <t>Convention Center Group</t>
  </si>
  <si>
    <t>Operations Dir</t>
  </si>
  <si>
    <t>Multi-year terms</t>
  </si>
  <si>
    <t>Major opportunity</t>
  </si>
  <si>
    <t>OPP026</t>
  </si>
  <si>
    <t>Fast Casual Restaurant Chain</t>
  </si>
  <si>
    <t>Soft Drinks &amp; Tea</t>
  </si>
  <si>
    <t>Equipment discussion</t>
  </si>
  <si>
    <t>Fountain vs bottle</t>
  </si>
  <si>
    <t>OPP027</t>
  </si>
  <si>
    <t>State University System</t>
  </si>
  <si>
    <t>Procurement</t>
  </si>
  <si>
    <t>Prepare formal bid</t>
  </si>
  <si>
    <t>Large state contract</t>
  </si>
  <si>
    <t>OPP028</t>
  </si>
  <si>
    <t>Waterpark Resort</t>
  </si>
  <si>
    <t>GM</t>
  </si>
  <si>
    <t>Present summer plan</t>
  </si>
  <si>
    <t>Seasonal peak</t>
  </si>
  <si>
    <t>OPP029</t>
  </si>
  <si>
    <t>Airline Catering Service</t>
  </si>
  <si>
    <t>VP Procurement</t>
  </si>
  <si>
    <t>Premium Products</t>
  </si>
  <si>
    <t>Security clearance</t>
  </si>
  <si>
    <t>Airport logistics</t>
  </si>
  <si>
    <t>OPP030</t>
  </si>
  <si>
    <t>Golf Course Network</t>
  </si>
  <si>
    <t>Water &amp; Sports</t>
  </si>
  <si>
    <t>Finalize delivery</t>
  </si>
  <si>
    <t>Spring season start</t>
  </si>
  <si>
    <t>OPP031</t>
  </si>
  <si>
    <t>Casino Entertainment Complex</t>
  </si>
  <si>
    <t>Purchasing Dir</t>
  </si>
  <si>
    <t>Volume discounts</t>
  </si>
  <si>
    <t>24/7 operations</t>
  </si>
  <si>
    <t>OPP032</t>
  </si>
  <si>
    <t>Regional Transit Authority</t>
  </si>
  <si>
    <t>Water &amp; Soft Drinks</t>
  </si>
  <si>
    <t>Contract terms review</t>
  </si>
  <si>
    <t>Public entity</t>
  </si>
  <si>
    <t>OPP033</t>
  </si>
  <si>
    <t>Sports Training Facility</t>
  </si>
  <si>
    <t>Director</t>
  </si>
  <si>
    <t>Execute contract</t>
  </si>
  <si>
    <t>Immediate need</t>
  </si>
  <si>
    <t>OPP034</t>
  </si>
  <si>
    <t>Community Hospital Group</t>
  </si>
  <si>
    <t>Materials Mgr</t>
  </si>
  <si>
    <t>Water &amp; Juices</t>
  </si>
  <si>
    <t>Product samples</t>
  </si>
  <si>
    <t>Quality focus</t>
  </si>
  <si>
    <t>OPP035</t>
  </si>
  <si>
    <t>Entertainment Venue Network</t>
  </si>
  <si>
    <t>Operations</t>
  </si>
  <si>
    <t>Capacity assessment</t>
  </si>
  <si>
    <t>Multiple venues</t>
  </si>
  <si>
    <t>OPP036</t>
  </si>
  <si>
    <t>Private University</t>
  </si>
  <si>
    <t>Dining Services</t>
  </si>
  <si>
    <t>Student survey results</t>
  </si>
  <si>
    <t>Student preferences</t>
  </si>
  <si>
    <t>OPP037</t>
  </si>
  <si>
    <t>Retail Distribution Center</t>
  </si>
  <si>
    <t>Warehouse Ops</t>
  </si>
  <si>
    <t>Bulk Water</t>
  </si>
  <si>
    <t>Logistics planning</t>
  </si>
  <si>
    <t>Employee services</t>
  </si>
  <si>
    <t>OPP038</t>
  </si>
  <si>
    <t>Senior Living Network</t>
  </si>
  <si>
    <t>F&amp;B Corporate</t>
  </si>
  <si>
    <t>Tea &amp; Juices</t>
  </si>
  <si>
    <t>Health compliance</t>
  </si>
  <si>
    <t>Special requirements</t>
  </si>
  <si>
    <t>OPP039</t>
  </si>
  <si>
    <t>Mountain Resort Collection</t>
  </si>
  <si>
    <t>Premium Line</t>
  </si>
  <si>
    <t>Brand alignment</t>
  </si>
  <si>
    <t>Luxury positioning</t>
  </si>
  <si>
    <t>OPP040</t>
  </si>
  <si>
    <t>Regional Grocery Co-op</t>
  </si>
  <si>
    <t>Slotting fees</t>
  </si>
  <si>
    <t>Retail distribution</t>
  </si>
  <si>
    <t>OPP041</t>
  </si>
  <si>
    <t>City Recreation Centers</t>
  </si>
  <si>
    <t>Parks Director</t>
  </si>
  <si>
    <t>Sports &amp; Water</t>
  </si>
  <si>
    <t>City approval pending</t>
  </si>
  <si>
    <t>Municipal contract</t>
  </si>
  <si>
    <t>OPP042</t>
  </si>
  <si>
    <t>Tech Company Campus</t>
  </si>
  <si>
    <t>Facilities</t>
  </si>
  <si>
    <t>Sustainability review</t>
  </si>
  <si>
    <t>Green requirements</t>
  </si>
  <si>
    <t>OPP043</t>
  </si>
  <si>
    <t>Regional Medical Centers</t>
  </si>
  <si>
    <t>Vendor qualification</t>
  </si>
  <si>
    <t>Healthcare standards</t>
  </si>
  <si>
    <t>OPP044</t>
  </si>
  <si>
    <t>Minor League Stadiums</t>
  </si>
  <si>
    <t>Concessions VP</t>
  </si>
  <si>
    <t>Season pricing</t>
  </si>
  <si>
    <t>Baseball season</t>
  </si>
  <si>
    <t>OPP045</t>
  </si>
  <si>
    <t>Island Resort Properties</t>
  </si>
  <si>
    <t>Logistics assessment</t>
  </si>
  <si>
    <t>Shipping challenges</t>
  </si>
  <si>
    <t>OPP046</t>
  </si>
  <si>
    <t>Highway Rest Stops</t>
  </si>
  <si>
    <t>State Contract</t>
  </si>
  <si>
    <t>State bid process</t>
  </si>
  <si>
    <t>Government contract</t>
  </si>
  <si>
    <t>OPP047</t>
  </si>
  <si>
    <t>Boutique Hotel Collection</t>
  </si>
  <si>
    <t>Owner</t>
  </si>
  <si>
    <t>Sparkling &amp; Premium</t>
  </si>
  <si>
    <t>Brand partnership</t>
  </si>
  <si>
    <t>Exclusive deal</t>
  </si>
  <si>
    <t>OPP048</t>
  </si>
  <si>
    <t>Youth Sports League</t>
  </si>
  <si>
    <t>Sponsorship terms</t>
  </si>
  <si>
    <t>Season sponsorship</t>
  </si>
  <si>
    <t>OPP049</t>
  </si>
  <si>
    <t>Corporate Event Venues</t>
  </si>
  <si>
    <t>Catering integration</t>
  </si>
  <si>
    <t>Event packages</t>
  </si>
  <si>
    <t>OPP050</t>
  </si>
  <si>
    <t>Regional Library System</t>
  </si>
  <si>
    <t>Admin</t>
  </si>
  <si>
    <t>Budget approval</t>
  </si>
  <si>
    <t>Public funding</t>
  </si>
  <si>
    <t>OPP051</t>
  </si>
  <si>
    <t>NASCAR Speedway</t>
  </si>
  <si>
    <t>Concessions Dir</t>
  </si>
  <si>
    <t>Race day logistics</t>
  </si>
  <si>
    <t>High volume events</t>
  </si>
  <si>
    <t>OPP052</t>
  </si>
  <si>
    <t>Ski Resort Group</t>
  </si>
  <si>
    <t>Seasonal planning</t>
  </si>
  <si>
    <t>Winter season</t>
  </si>
  <si>
    <t>OPP053</t>
  </si>
  <si>
    <t>Music Festival Promoter</t>
  </si>
  <si>
    <t>Festival schedule</t>
  </si>
  <si>
    <t>Summer events</t>
  </si>
  <si>
    <t>OPP054</t>
  </si>
  <si>
    <t>Veterans Hospital System</t>
  </si>
  <si>
    <t>Contracting</t>
  </si>
  <si>
    <t>Federal requirements</t>
  </si>
  <si>
    <t>VA contract</t>
  </si>
  <si>
    <t>OPP055</t>
  </si>
  <si>
    <t>Regional Bus Lines</t>
  </si>
  <si>
    <t>Fleet Manager</t>
  </si>
  <si>
    <t>Depot locations</t>
  </si>
  <si>
    <t>Driver refreshments</t>
  </si>
  <si>
    <t>OPP056</t>
  </si>
  <si>
    <t>Day Spa Network</t>
  </si>
  <si>
    <t>Owner Group</t>
  </si>
  <si>
    <t>Tea &amp; Premium Water</t>
  </si>
  <si>
    <t>Wellness branding</t>
  </si>
  <si>
    <t>Premium positioning</t>
  </si>
  <si>
    <t>OPP057</t>
  </si>
  <si>
    <t>Community College System</t>
  </si>
  <si>
    <t>Food Services</t>
  </si>
  <si>
    <t>Campus tour</t>
  </si>
  <si>
    <t>Multiple campuses</t>
  </si>
  <si>
    <t>OPP058</t>
  </si>
  <si>
    <t>Racing Team Sponsors</t>
  </si>
  <si>
    <t>Marketing Dir</t>
  </si>
  <si>
    <t>Energy Rush</t>
  </si>
  <si>
    <t>Branding rights</t>
  </si>
  <si>
    <t>Sponsorship deal</t>
  </si>
  <si>
    <t>OPP059</t>
  </si>
  <si>
    <t>Regional Dialysis Centers</t>
  </si>
  <si>
    <t>Medical compliance</t>
  </si>
  <si>
    <t>Healthcare specific</t>
  </si>
  <si>
    <t>OPP060</t>
  </si>
  <si>
    <t>Zoo &amp; Aquarium Group</t>
  </si>
  <si>
    <t>Concessions</t>
  </si>
  <si>
    <t>Seasonal volumes</t>
  </si>
  <si>
    <t>Family entertainment</t>
  </si>
  <si>
    <t>OPP061</t>
  </si>
  <si>
    <t>Corporate Headquarters</t>
  </si>
  <si>
    <t>Office Manager</t>
  </si>
  <si>
    <t>Delivery schedule</t>
  </si>
  <si>
    <t>Fortune 500</t>
  </si>
  <si>
    <t>OPP062</t>
  </si>
  <si>
    <t>Summer Camp Network</t>
  </si>
  <si>
    <t>Sports &amp; Juices</t>
  </si>
  <si>
    <t>Summer schedule</t>
  </si>
  <si>
    <t>Seasonal</t>
  </si>
  <si>
    <t>OPP063</t>
  </si>
  <si>
    <t>Historic Hotel Group</t>
  </si>
  <si>
    <t>Purchasing</t>
  </si>
  <si>
    <t>Sparkling Water</t>
  </si>
  <si>
    <t>Heritage properties</t>
  </si>
  <si>
    <t>OPP064</t>
  </si>
  <si>
    <t>Professional Sports Team</t>
  </si>
  <si>
    <t>Stadium contract</t>
  </si>
  <si>
    <t>Major league</t>
  </si>
  <si>
    <t>OPP065</t>
  </si>
  <si>
    <t>Regional Healthcare</t>
  </si>
  <si>
    <t>Vendor approval</t>
  </si>
  <si>
    <t>Hospital network</t>
  </si>
  <si>
    <t>OPP066</t>
  </si>
  <si>
    <t>Theme Restaurant Chain</t>
  </si>
  <si>
    <t>Menu integration</t>
  </si>
  <si>
    <t>OPP067</t>
  </si>
  <si>
    <t>Military Base Exchange</t>
  </si>
  <si>
    <t>Contracting Officer</t>
  </si>
  <si>
    <t>DoD contract</t>
  </si>
  <si>
    <t>OPP068</t>
  </si>
  <si>
    <t>Riverboat Casino</t>
  </si>
  <si>
    <t>Volume terms</t>
  </si>
  <si>
    <t>Gaming property</t>
  </si>
  <si>
    <t>OPP069</t>
  </si>
  <si>
    <t>Yoga Studio Network</t>
  </si>
  <si>
    <t>Tea &amp; Water</t>
  </si>
  <si>
    <t>Wellness focus</t>
  </si>
  <si>
    <t>Health conscious</t>
  </si>
  <si>
    <t>OPP070</t>
  </si>
  <si>
    <t>Regional Fairgrounds</t>
  </si>
  <si>
    <t>Event calendar</t>
  </si>
  <si>
    <t>Annual events</t>
  </si>
  <si>
    <t>ZAVA BOTTLING — 2024 EXECUTIVE SUMMARY &amp; ACTION PLAN</t>
  </si>
  <si>
    <t>Full-Year Performance Dashboard  |  Generated from Live Data</t>
  </si>
  <si>
    <t>KEY PERFORMANCE INDICATORS — SCORECARD</t>
  </si>
  <si>
    <t>Actual (YTD)</t>
  </si>
  <si>
    <t>Variance</t>
  </si>
  <si>
    <t>Trend</t>
  </si>
  <si>
    <t>Commentary</t>
  </si>
  <si>
    <t>⚠ Below Target</t>
  </si>
  <si>
    <t>↗ Growing H2</t>
  </si>
  <si>
    <t>53% of annual target; Q4 strong at $138.8K</t>
  </si>
  <si>
    <t>Margins strong at 66.7%; revenue gap drives shortfall</t>
  </si>
  <si>
    <t>✓ On Track</t>
  </si>
  <si>
    <t>↗ 2.2x Over Plan</t>
  </si>
  <si>
    <t>263 orders vs 120 target — strong demand signal</t>
  </si>
  <si>
    <t>↗ Above Plan</t>
  </si>
  <si>
    <t>$1,763 avg vs $1,500 target; premium mix improving</t>
  </si>
  <si>
    <t>→ Stable</t>
  </si>
  <si>
    <t>66.7% exceeds 60% target; consistent across months</t>
  </si>
  <si>
    <t>↗ Strong Base</t>
  </si>
  <si>
    <t>110 active accounts; 20 purchased YTD — activation gap</t>
  </si>
  <si>
    <t>Pipeline Value (Est.)</t>
  </si>
  <si>
    <t>Pipeline Active</t>
  </si>
  <si>
    <t>70 Opportunities</t>
  </si>
  <si>
    <t>$6.9M pipeline across 70 deals in 4 stages</t>
  </si>
  <si>
    <t>Weighted Forecast</t>
  </si>
  <si>
    <t>See Pipeline Detail</t>
  </si>
  <si>
    <t>11 deals in Closing stage worth ~$313K near-term</t>
  </si>
  <si>
    <t>SALES TEAM PERFORMANCE — FULL YEAR 2024</t>
  </si>
  <si>
    <t>Revenue (Actual)</t>
  </si>
  <si>
    <t>Avg Order Size</t>
  </si>
  <si>
    <t>Pipeline Deals</t>
  </si>
  <si>
    <t>Commission Earned</t>
  </si>
  <si>
    <t>Assessment</t>
  </si>
  <si>
    <t>Below target; strong order count but low deal size</t>
  </si>
  <si>
    <t>Solid performer; 61% achievement, highest South region</t>
  </si>
  <si>
    <t>Most orders (73); needs higher-value deals</t>
  </si>
  <si>
    <t>Top revenue; largest pipeline — key growth driver</t>
  </si>
  <si>
    <t>TEAM TOTAL</t>
  </si>
  <si>
    <t>All</t>
  </si>
  <si>
    <t>53% overall; all reps below target</t>
  </si>
  <si>
    <t>SALES PIPELINE ANALYSIS BY STAGE</t>
  </si>
  <si>
    <t># of Deals</t>
  </si>
  <si>
    <t>Total Est. Value</t>
  </si>
  <si>
    <t>Weighted Value</t>
  </si>
  <si>
    <t>Avg Deal Size</t>
  </si>
  <si>
    <t>% of Pipeline</t>
  </si>
  <si>
    <t>Recommended Action</t>
  </si>
  <si>
    <t>Priority: Execute contracts this week; 11 deals ready to sign</t>
  </si>
  <si>
    <t>Push hard: 18 deals in active negotiation; accelerate to close</t>
  </si>
  <si>
    <t>Follow up: Customize proposals; address objections proactively</t>
  </si>
  <si>
    <t>Qualify faster: 16 deals avg 25 days in stage; reduce to 15</t>
  </si>
  <si>
    <t>TOTAL PIPELINE</t>
  </si>
  <si>
    <t>$6.9M pipeline; focus on Closing + Negotiation stages</t>
  </si>
  <si>
    <t>TOP 3 RISKS</t>
  </si>
  <si>
    <t>#</t>
  </si>
  <si>
    <t>Risk</t>
  </si>
  <si>
    <t>Impact</t>
  </si>
  <si>
    <t>Evidence</t>
  </si>
  <si>
    <t>Likelihood</t>
  </si>
  <si>
    <t>Mitigation</t>
  </si>
  <si>
    <t>Revenue Target Shortfall</t>
  </si>
  <si>
    <t>HIGH</t>
  </si>
  <si>
    <t>YTD revenue at $465K vs $880K target (53%); all reps below plan. North region worst at 42% achievement.</t>
  </si>
  <si>
    <t>Very High</t>
  </si>
  <si>
    <t>Accelerate pipeline conversion; focus on Closing &amp; Negotiation stage deals ($2.2M combined)</t>
  </si>
  <si>
    <t>Customer Concentration</t>
  </si>
  <si>
    <t>MEDIUM</t>
  </si>
  <si>
    <t>Only 20 of 110 active accounts (18%) purchased in 2024. Revenue depends on narrow customer base.</t>
  </si>
  <si>
    <t>High</t>
  </si>
  <si>
    <t>Launch activation campaign for dormant 90 accounts; assign quota for new customer wins per rep</t>
  </si>
  <si>
    <t>Payment Collection Risk</t>
  </si>
  <si>
    <t>10 orders (~3.8%) in Pending payment status. Cash flow exposure if trend grows.</t>
  </si>
  <si>
    <t>Medium</t>
  </si>
  <si>
    <t>Implement 48-hour follow-up on pending invoices; review Net 45 terms for high-risk accounts</t>
  </si>
  <si>
    <t>TOP 3 OPPORTUNITIES</t>
  </si>
  <si>
    <t>Opportunity</t>
  </si>
  <si>
    <t>Potential Value</t>
  </si>
  <si>
    <t>Timeline</t>
  </si>
  <si>
    <t>Near-Term Pipeline Conversion</t>
  </si>
  <si>
    <t>$2.2M (Closing + Negotiation)</t>
  </si>
  <si>
    <t>29 deals in Closing (11) and Negotiation (18) stages. $458K ready to close immediately.</t>
  </si>
  <si>
    <t>30-60 days</t>
  </si>
  <si>
    <t>Executive-sponsored deal review; assign closing support to top 10 deals by value</t>
  </si>
  <si>
    <t>December-Style Seasonal Push</t>
  </si>
  <si>
    <t>$60K+ monthly potential</t>
  </si>
  <si>
    <t>December hit $60K (65.7% MoM growth). Replicable with targeted promotions in summer/holiday peaks.</t>
  </si>
  <si>
    <t>Next Quarter</t>
  </si>
  <si>
    <t>Build seasonal campaign playbook; pre-sell holiday inventory to top 20 accounts</t>
  </si>
  <si>
    <t>Premium Category Expansion</t>
  </si>
  <si>
    <t>$100K+ incremental</t>
  </si>
  <si>
    <t>Energy Drinks ($3.43 avg price, 68.1% margin) and Sports Drinks ($2.91, 67.1%) outperform on margin. Combined 38% of revenue.</t>
  </si>
  <si>
    <t>Ongoing</t>
  </si>
  <si>
    <t>Shift mix toward premium; bundle Energy + Sports in proposals; target fitness &amp; sports venues</t>
  </si>
  <si>
    <t>EXECUTIVE NARRATIVE — WHAT IS DRIVING RESULTS</t>
  </si>
  <si>
    <t>PERFORMANCE OVERVIEW</t>
  </si>
  <si>
    <t>Zava Bottling achieved $465K in revenue (53% of $880K target) with $310K profit at a 66.7% margin across 263 orders in 2024. While absolute revenue trails the annual target, the business demonstrates strong unit economics: profit margin exceeds target by 6.7 points, order volume is 2.2x plan, and average order value of $1,763 beats the $1,500 target by 18%.</t>
  </si>
  <si>
    <t>WHAT IS WORKING</t>
  </si>
  <si>
    <t>1) Margin discipline is excellent — 66.7% profit margin is consistent across all 12 months (range: 66.2% to 67.1%), indicating strong pricing power and cost control. 2) Q4 momentum is encouraging — revenue grew 20.2% QoQ from $115K to $139K, with December alone generating $60K (12.9% of annual total). 3) Product mix is favorable — Soft Drinks ($151K, 32.4%), Sports Drinks ($101K, 21.6%), and Energy Drinks ($76K, 16.3%) dominate with above-average margins. 4) Pipeline is robust at $6.9M across 70 opportunities.</t>
  </si>
  <si>
    <t>WHAT NEEDS IMPROVEMENT</t>
  </si>
  <si>
    <t>1) All 4 reps are below target (range: 43%-61%). The North region at 42% needs immediate attention. 2) Customer penetration is critically low — only 20 of 110 active accounts (18%) placed orders. 90 dormant accounts represent significant untapped potential. 3) Revenue volatility is high — MoM swings of -17% to +66% suggest inconsistent deal timing rather than steady pipeline flow. 4) Pipeline conversion needs acceleration — 16 deals averaging 25+ days in Qualification stage.</t>
  </si>
  <si>
    <t>RECOMMENDED ACTIONS FOR THE SALES TEAM</t>
  </si>
  <si>
    <t>1) CLOSE NOW: Prioritize 11 Closing-stage deals ($458K) — assign executive sponsors, remove blockers, target 100% close rate within 2 weeks.</t>
  </si>
  <si>
    <t>2) ACCELERATE PIPELINE: Move 18 Negotiation-stage deals ($1.7M) to close within 30 days; offer volume incentives for Q1 commitment.</t>
  </si>
  <si>
    <t>3) ACTIVATE DORMANT ACCOUNTS: Launch targeted outreach to 90 non-purchasing accounts; set each rep a goal of 5 new account wins per quarter.</t>
  </si>
  <si>
    <t>4) DOUBLE DOWN ON PREMIUM MIX: Push Energy Drinks and Sports Drinks in proposals — highest margins (68.1% and 67.1%) and growing demand in fitness/entertainment segments.</t>
  </si>
  <si>
    <t>5) NORTH REGION RESCUE: Sarah Johnson at 48% achievement needs pipeline support, mentoring, and reallocation of high-probability leads.</t>
  </si>
  <si>
    <t>CHART DATA — Sales Rep Performance</t>
  </si>
  <si>
    <t>Actual Revenue</t>
  </si>
  <si>
    <t>CHART DATA — Pipeline by Stage</t>
  </si>
  <si>
    <t>Est. Value</t>
  </si>
  <si>
    <t>Deals</t>
  </si>
  <si>
    <t>CHART DATA — Monthly Revenue Trend</t>
  </si>
  <si>
    <t>CHART DATA — Category Revenue</t>
  </si>
  <si>
    <t>CHART DATA — Rep Achievement</t>
  </si>
  <si>
    <t>VISUAL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</si>
</sst>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0.0%"/>
    <numFmt numFmtId="165" formatCode="&quot;$&quot;#,##0.00"/>
    <numFmt numFmtId="166" formatCode="&quot;$&quot;#,##0"/>
    <numFmt numFmtId="167" formatCode="yyyy\-mm\-dd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rgb="FF1B3A5C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1B3A5C"/>
      <name val="Aptos Narrow"/>
      <family val="2"/>
      <scheme val="minor"/>
    </font>
    <font>
      <b/>
      <sz val="11"/>
      <color rgb="FF1B3A5C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b/>
      <sz val="10"/>
      <color rgb="FFED7D31"/>
      <name val="Aptos Narrow"/>
      <family val="2"/>
      <scheme val="minor"/>
    </font>
    <font>
      <b/>
      <sz val="10"/>
      <color rgb="FF107C10"/>
      <name val="Aptos Narrow"/>
      <family val="2"/>
      <scheme val="minor"/>
    </font>
    <font>
      <sz val="10"/>
      <color rgb="FF333333"/>
      <name val="Aptos Narrow"/>
      <family val="2"/>
      <scheme val="minor"/>
    </font>
    <font>
      <sz val="8"/>
      <color rgb="FF999999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D84315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90CAF9"/>
        <bgColor indexed="64"/>
      </patternFill>
    </fill>
    <fill>
      <patternFill patternType="solid">
        <fgColor rgb="FFF57C00"/>
        <bgColor indexed="64"/>
      </patternFill>
    </fill>
    <fill>
      <patternFill patternType="solid">
        <fgColor rgb="FF5D403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1B3A5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7FB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107C1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FF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B4C6E7"/>
      </top>
      <bottom style="thin">
        <color rgb="FFB4C6E7"/>
      </bottom>
      <diagonal/>
    </border>
    <border>
      <left/>
      <right/>
      <top style="thin">
        <color rgb="FFB4C6E7"/>
      </top>
      <bottom/>
      <diagonal/>
    </border>
    <border>
      <left/>
      <right/>
      <top style="thin">
        <color rgb="FF2E75B6"/>
      </top>
      <bottom style="thin">
        <color rgb="FFB4C6E7"/>
      </bottom>
      <diagonal/>
    </border>
    <border>
      <left/>
      <right/>
      <top style="thin">
        <color rgb="FFE6B8B8"/>
      </top>
      <bottom style="thin">
        <color rgb="FFE6B8B8"/>
      </bottom>
      <diagonal/>
    </border>
    <border>
      <left/>
      <right/>
      <top style="thin">
        <color rgb="FFE6B8B8"/>
      </top>
      <bottom/>
      <diagonal/>
    </border>
    <border>
      <left/>
      <right/>
      <top style="thin">
        <color rgb="FFA9D18E"/>
      </top>
      <bottom style="thin">
        <color rgb="FFA9D18E"/>
      </bottom>
      <diagonal/>
    </border>
    <border>
      <left/>
      <right/>
      <top style="thin">
        <color rgb="FFA9D18E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1"/>
    <xf numFmtId="0" fontId="2" fillId="2" borderId="0" xfId="0" applyFont="1" applyFill="1"/>
    <xf numFmtId="165" fontId="0" fillId="0" borderId="0" xfId="0" applyNumberFormat="1"/>
    <xf numFmtId="0" fontId="2" fillId="3" borderId="0" xfId="0" applyFont="1" applyFill="1"/>
    <xf numFmtId="166" fontId="0" fillId="0" borderId="0" xfId="0" applyNumberFormat="1"/>
    <xf numFmtId="14" fontId="0" fillId="0" borderId="0" xfId="0" applyNumberFormat="1"/>
    <xf numFmtId="0" fontId="2" fillId="4" borderId="0" xfId="0" applyFont="1" applyFill="1"/>
    <xf numFmtId="0" fontId="2" fillId="5" borderId="0" xfId="0" applyFont="1" applyFill="1"/>
    <xf numFmtId="167" fontId="0" fillId="0" borderId="0" xfId="0" applyNumberFormat="1"/>
    <xf numFmtId="0" fontId="1" fillId="8" borderId="0" xfId="0" applyFont="1" applyFill="1"/>
    <xf numFmtId="9" fontId="0" fillId="0" borderId="0" xfId="0" applyNumberFormat="1"/>
    <xf numFmtId="3" fontId="0" fillId="0" borderId="0" xfId="0" applyNumberFormat="1"/>
    <xf numFmtId="0" fontId="2" fillId="9" borderId="0" xfId="0" applyFont="1" applyFill="1"/>
    <xf numFmtId="0" fontId="2" fillId="10" borderId="0" xfId="0" applyFont="1" applyFill="1"/>
    <xf numFmtId="6" fontId="0" fillId="0" borderId="0" xfId="0" applyNumberFormat="1"/>
    <xf numFmtId="6" fontId="1" fillId="8" borderId="0" xfId="0" applyNumberFormat="1" applyFont="1" applyFill="1"/>
    <xf numFmtId="9" fontId="1" fillId="8" borderId="0" xfId="0" applyNumberFormat="1" applyFont="1" applyFill="1"/>
    <xf numFmtId="0" fontId="1" fillId="11" borderId="0" xfId="0" applyFont="1" applyFill="1"/>
    <xf numFmtId="166" fontId="1" fillId="11" borderId="0" xfId="0" applyNumberFormat="1" applyFont="1" applyFill="1"/>
    <xf numFmtId="9" fontId="1" fillId="11" borderId="0" xfId="0" applyNumberFormat="1" applyFont="1" applyFill="1"/>
    <xf numFmtId="3" fontId="1" fillId="11" borderId="0" xfId="0" applyNumberFormat="1" applyFont="1" applyFill="1"/>
    <xf numFmtId="164" fontId="1" fillId="11" borderId="0" xfId="0" applyNumberFormat="1" applyFont="1" applyFill="1"/>
    <xf numFmtId="0" fontId="1" fillId="11" borderId="1" xfId="0" applyFont="1" applyFill="1" applyBorder="1"/>
    <xf numFmtId="0" fontId="0" fillId="0" borderId="1" xfId="0" applyBorder="1"/>
    <xf numFmtId="166" fontId="0" fillId="0" borderId="1" xfId="0" applyNumberFormat="1" applyBorder="1"/>
    <xf numFmtId="164" fontId="0" fillId="0" borderId="1" xfId="0" applyNumberFormat="1" applyBorder="1"/>
    <xf numFmtId="165" fontId="1" fillId="11" borderId="0" xfId="0" applyNumberFormat="1" applyFont="1" applyFill="1"/>
    <xf numFmtId="0" fontId="0" fillId="0" borderId="0" xfId="0"/>
    <xf numFmtId="0" fontId="4" fillId="12" borderId="0" xfId="0" applyFont="1" applyFill="1"/>
    <xf numFmtId="0" fontId="2" fillId="12" borderId="0" xfId="0" applyFont="1" applyFill="1"/>
    <xf numFmtId="0" fontId="3" fillId="6" borderId="0" xfId="0" applyFont="1" applyFill="1"/>
    <xf numFmtId="0" fontId="1" fillId="7" borderId="0" xfId="0" applyFont="1" applyFill="1"/>
    <xf numFmtId="9" fontId="0" fillId="0" borderId="0" xfId="0" applyNumberFormat="1"/>
    <xf numFmtId="0" fontId="1" fillId="8" borderId="0" xfId="0" applyFont="1" applyFill="1"/>
    <xf numFmtId="0" fontId="0" fillId="13" borderId="0" xfId="0" applyFill="1"/>
    <xf numFmtId="0" fontId="5" fillId="13" borderId="0" xfId="0" applyFont="1" applyFill="1" applyAlignment="1">
      <alignment horizontal="center"/>
    </xf>
    <xf numFmtId="0" fontId="0" fillId="14" borderId="0" xfId="0" applyFill="1"/>
    <xf numFmtId="0" fontId="7" fillId="14" borderId="0" xfId="0" applyFont="1" applyFill="1" applyAlignment="1">
      <alignment horizontal="center"/>
    </xf>
    <xf numFmtId="0" fontId="8" fillId="15" borderId="0" xfId="0" applyFont="1" applyFill="1"/>
    <xf numFmtId="0" fontId="0" fillId="15" borderId="0" xfId="0" applyFill="1"/>
    <xf numFmtId="0" fontId="9" fillId="0" borderId="2" xfId="0" applyFont="1" applyBorder="1"/>
    <xf numFmtId="166" fontId="6" fillId="0" borderId="2" xfId="0" applyNumberFormat="1" applyFont="1" applyBorder="1"/>
    <xf numFmtId="0" fontId="6" fillId="0" borderId="2" xfId="0" applyFont="1" applyBorder="1"/>
    <xf numFmtId="0" fontId="9" fillId="0" borderId="3" xfId="0" applyFont="1" applyBorder="1"/>
    <xf numFmtId="166" fontId="6" fillId="0" borderId="3" xfId="0" applyNumberFormat="1" applyFont="1" applyBorder="1"/>
    <xf numFmtId="9" fontId="6" fillId="0" borderId="3" xfId="0" applyNumberFormat="1" applyFont="1" applyBorder="1"/>
    <xf numFmtId="0" fontId="6" fillId="0" borderId="3" xfId="0" applyFont="1" applyBorder="1"/>
    <xf numFmtId="0" fontId="10" fillId="14" borderId="4" xfId="0" applyFont="1" applyFill="1" applyBorder="1" applyAlignment="1">
      <alignment horizontal="center"/>
    </xf>
    <xf numFmtId="0" fontId="9" fillId="16" borderId="0" xfId="0" applyFont="1" applyFill="1" applyBorder="1"/>
    <xf numFmtId="166" fontId="6" fillId="16" borderId="0" xfId="0" applyNumberFormat="1" applyFont="1" applyFill="1" applyBorder="1"/>
    <xf numFmtId="9" fontId="6" fillId="16" borderId="0" xfId="0" applyNumberFormat="1" applyFont="1" applyFill="1" applyBorder="1"/>
    <xf numFmtId="0" fontId="6" fillId="16" borderId="0" xfId="0" applyFont="1" applyFill="1" applyBorder="1"/>
    <xf numFmtId="0" fontId="9" fillId="16" borderId="3" xfId="0" applyFont="1" applyFill="1" applyBorder="1"/>
    <xf numFmtId="0" fontId="6" fillId="16" borderId="3" xfId="0" applyFont="1" applyFill="1" applyBorder="1"/>
    <xf numFmtId="9" fontId="6" fillId="16" borderId="3" xfId="0" applyNumberFormat="1" applyFont="1" applyFill="1" applyBorder="1"/>
    <xf numFmtId="166" fontId="6" fillId="16" borderId="3" xfId="0" applyNumberFormat="1" applyFont="1" applyFill="1" applyBorder="1"/>
    <xf numFmtId="0" fontId="1" fillId="17" borderId="2" xfId="0" applyFont="1" applyFill="1" applyBorder="1"/>
    <xf numFmtId="166" fontId="1" fillId="17" borderId="2" xfId="0" applyNumberFormat="1" applyFont="1" applyFill="1" applyBorder="1"/>
    <xf numFmtId="9" fontId="1" fillId="17" borderId="2" xfId="0" applyNumberFormat="1" applyFont="1" applyFill="1" applyBorder="1"/>
    <xf numFmtId="0" fontId="11" fillId="14" borderId="0" xfId="0" applyFont="1" applyFill="1" applyBorder="1" applyAlignment="1">
      <alignment horizontal="center"/>
    </xf>
    <xf numFmtId="0" fontId="9" fillId="17" borderId="2" xfId="0" applyFont="1" applyFill="1" applyBorder="1"/>
    <xf numFmtId="166" fontId="9" fillId="17" borderId="2" xfId="0" applyNumberFormat="1" applyFont="1" applyFill="1" applyBorder="1"/>
    <xf numFmtId="9" fontId="9" fillId="17" borderId="2" xfId="0" applyNumberFormat="1" applyFont="1" applyFill="1" applyBorder="1"/>
    <xf numFmtId="0" fontId="8" fillId="18" borderId="0" xfId="0" applyFont="1" applyFill="1"/>
    <xf numFmtId="0" fontId="0" fillId="18" borderId="0" xfId="0" applyFill="1"/>
    <xf numFmtId="0" fontId="11" fillId="19" borderId="0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5" xfId="0" applyFont="1" applyBorder="1"/>
    <xf numFmtId="0" fontId="9" fillId="0" borderId="6" xfId="0" applyFont="1" applyBorder="1" applyAlignment="1">
      <alignment horizontal="center"/>
    </xf>
    <xf numFmtId="0" fontId="6" fillId="0" borderId="6" xfId="0" applyFont="1" applyBorder="1"/>
    <xf numFmtId="0" fontId="13" fillId="0" borderId="5" xfId="0" applyFont="1" applyBorder="1"/>
    <xf numFmtId="0" fontId="13" fillId="0" borderId="6" xfId="0" applyFont="1" applyBorder="1"/>
    <xf numFmtId="0" fontId="9" fillId="20" borderId="6" xfId="0" applyFont="1" applyFill="1" applyBorder="1" applyAlignment="1">
      <alignment horizontal="center"/>
    </xf>
    <xf numFmtId="0" fontId="6" fillId="20" borderId="6" xfId="0" applyFont="1" applyFill="1" applyBorder="1"/>
    <xf numFmtId="0" fontId="12" fillId="20" borderId="6" xfId="0" applyFont="1" applyFill="1" applyBorder="1"/>
    <xf numFmtId="0" fontId="6" fillId="20" borderId="6" xfId="0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8" fillId="21" borderId="0" xfId="0" applyFont="1" applyFill="1"/>
    <xf numFmtId="0" fontId="0" fillId="21" borderId="0" xfId="0" applyFill="1"/>
    <xf numFmtId="0" fontId="11" fillId="22" borderId="0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7" xfId="0" applyFont="1" applyBorder="1"/>
    <xf numFmtId="0" fontId="14" fillId="0" borderId="7" xfId="0" applyFont="1" applyBorder="1"/>
    <xf numFmtId="0" fontId="9" fillId="0" borderId="8" xfId="0" applyFont="1" applyBorder="1" applyAlignment="1">
      <alignment horizontal="center"/>
    </xf>
    <xf numFmtId="0" fontId="6" fillId="0" borderId="8" xfId="0" applyFont="1" applyBorder="1"/>
    <xf numFmtId="0" fontId="14" fillId="0" borderId="8" xfId="0" applyFont="1" applyBorder="1"/>
    <xf numFmtId="0" fontId="9" fillId="23" borderId="8" xfId="0" applyFont="1" applyFill="1" applyBorder="1" applyAlignment="1">
      <alignment horizontal="center"/>
    </xf>
    <xf numFmtId="0" fontId="6" fillId="23" borderId="8" xfId="0" applyFont="1" applyFill="1" applyBorder="1"/>
    <xf numFmtId="0" fontId="14" fillId="23" borderId="8" xfId="0" applyFont="1" applyFill="1" applyBorder="1"/>
    <xf numFmtId="0" fontId="6" fillId="23" borderId="8" xfId="0" applyFont="1" applyFill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16" borderId="0" xfId="0" applyFont="1" applyFill="1" applyAlignment="1">
      <alignment wrapText="1"/>
    </xf>
    <xf numFmtId="0" fontId="16" fillId="0" borderId="0" xfId="0" applyFont="1"/>
    <xf numFmtId="0" fontId="6" fillId="16" borderId="0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16" borderId="3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17" borderId="2" xfId="0" applyFont="1" applyFill="1" applyBorder="1" applyAlignment="1">
      <alignment wrapText="1"/>
    </xf>
    <xf numFmtId="0" fontId="9" fillId="17" borderId="2" xfId="0" applyFont="1" applyFill="1" applyBorder="1" applyAlignment="1">
      <alignment wrapText="1"/>
    </xf>
  </cellXfs>
  <cellStyles count="1">
    <cellStyle name="Normal" xfId="0" builtinId="0"/>
  </cellStyles>
  <dxfs count="32">
    <dxf>
      <numFmt numFmtId="165" formatCode="&quot;$&quot;#,##0.00"/>
    </dxf>
    <dxf>
      <numFmt numFmtId="165" formatCode="&quot;$&quot;#,##0.00"/>
    </dxf>
    <dxf>
      <numFmt numFmtId="16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5D4037"/>
        </patternFill>
      </fill>
    </dxf>
    <dxf>
      <numFmt numFmtId="169" formatCode="m/d/yyyy"/>
    </dxf>
    <dxf>
      <numFmt numFmtId="166" formatCode="&quot;$&quot;#,##0"/>
    </dxf>
    <dxf>
      <numFmt numFmtId="13" formatCode="0%"/>
    </dxf>
    <dxf>
      <numFmt numFmtId="166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F57C00"/>
        </patternFill>
      </fill>
    </dxf>
    <dxf>
      <numFmt numFmtId="164" formatCode="0.0%"/>
    </dxf>
    <dxf>
      <numFmt numFmtId="166" formatCode="&quot;$&quot;#,##0"/>
    </dxf>
    <dxf>
      <numFmt numFmtId="16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7B1FA2"/>
        </patternFill>
      </fill>
    </dxf>
    <dxf>
      <numFmt numFmtId="166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E7D32"/>
        </patternFill>
      </fill>
    </dxf>
    <dxf>
      <numFmt numFmtId="164" formatCode="0.0%"/>
    </dxf>
    <dxf>
      <numFmt numFmtId="165" formatCode="&quot;$&quot;#,##0.00"/>
    </dxf>
    <dxf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4E79"/>
        </patternFill>
      </fill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7" formatCode="yyyy\-mm\-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D84315"/>
        </patternFill>
      </fill>
    </dxf>
    <dxf>
      <numFmt numFmtId="164" formatCode="0.0%"/>
    </dxf>
    <dxf>
      <numFmt numFmtId="164" formatCode="0.0%"/>
    </dxf>
    <dxf>
      <numFmt numFmtId="166" formatCode="&quot;$&quot;#,##0"/>
    </dxf>
    <dxf>
      <numFmt numFmtId="3" formatCode="#,##0"/>
    </dxf>
    <dxf>
      <numFmt numFmtId="166" formatCode="&quot;$&quot;#,##0"/>
    </dxf>
    <dxf>
      <numFmt numFmtId="166" formatCode="&quot;$&quot;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D9E1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ZAVA Bottling - Monthly Revenue Trends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'Monthly Trends'!$B$3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'Monthly Trends'!$A$4:$A$15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'Monthly Trends'!$B$4:$B$15</c:f>
              <c:numCache>
                <c:formatCode>"$"#,##0</c:formatCode>
                <c:ptCount val="12"/>
                <c:pt idx="0">
                  <c:v>33369.199999999997</c:v>
                </c:pt>
                <c:pt idx="1">
                  <c:v>31528.9</c:v>
                </c:pt>
                <c:pt idx="2">
                  <c:v>33443.600000000006</c:v>
                </c:pt>
                <c:pt idx="3">
                  <c:v>35031.699999999997</c:v>
                </c:pt>
                <c:pt idx="4">
                  <c:v>37767.4</c:v>
                </c:pt>
                <c:pt idx="5">
                  <c:v>39987.300000000003</c:v>
                </c:pt>
                <c:pt idx="6">
                  <c:v>37883.000000000007</c:v>
                </c:pt>
                <c:pt idx="7">
                  <c:v>42387.399999999994</c:v>
                </c:pt>
                <c:pt idx="8">
                  <c:v>35181</c:v>
                </c:pt>
                <c:pt idx="9">
                  <c:v>42542.3</c:v>
                </c:pt>
                <c:pt idx="10">
                  <c:v>36225</c:v>
                </c:pt>
                <c:pt idx="11">
                  <c:v>60013.799999999988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6-44EE-95DF-76703C03A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7258111"/>
        <c:axId val="1027253311"/>
      </c:lineChart>
      <c:catAx>
        <c:axId val="10272581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253311"/>
        <c:crosses val="autoZero"/>
        <c:auto val="1"/>
        <c:lblAlgn val="ctr"/>
        <c:lblOffset val="100"/>
        <c:noMultiLvlLbl val="0"/>
      </c:catAx>
      <c:valAx>
        <c:axId val="102725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Revenue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725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B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Rep: Target vs Actual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B3A5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Summary'!$B$62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B4C6E7"/>
            </a:solidFill>
            <a:ln>
              <a:noFill/>
            </a:ln>
            <a:effectLst/>
          </c:spPr>
          <c:invertIfNegative val="0"/>
          <c:cat>
            <c:strRef>
              <c:f>'Executive Summary'!$A$63:$A$66</c:f>
              <c:strCache>
                <c:ptCount val="4"/>
                <c:pt idx="0">
                  <c:v>Sarah Johnson</c:v>
                </c:pt>
                <c:pt idx="1">
                  <c:v>Mike Chen</c:v>
                </c:pt>
                <c:pt idx="2">
                  <c:v>Lisa Wang</c:v>
                </c:pt>
                <c:pt idx="3">
                  <c:v>Tom Martinez</c:v>
                </c:pt>
              </c:strCache>
            </c:strRef>
          </c:cat>
          <c:val>
            <c:numRef>
              <c:f>'Executive Summary'!$B$63:$B$66</c:f>
              <c:numCache>
                <c:formatCode>General</c:formatCode>
                <c:ptCount val="4"/>
                <c:pt idx="0">
                  <c:v>200000</c:v>
                </c:pt>
                <c:pt idx="1">
                  <c:v>220000</c:v>
                </c:pt>
                <c:pt idx="2">
                  <c:v>210000</c:v>
                </c:pt>
                <c:pt idx="3">
                  <c:v>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4F-412B-B481-39E5F025D0DF}"/>
            </c:ext>
          </c:extLst>
        </c:ser>
        <c:ser>
          <c:idx val="1"/>
          <c:order val="1"/>
          <c:tx>
            <c:strRef>
              <c:f>'Executive Summary'!$C$62</c:f>
              <c:strCache>
                <c:ptCount val="1"/>
                <c:pt idx="0">
                  <c:v>Actual Revenue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/>
          </c:spPr>
          <c:invertIfNegative val="0"/>
          <c:cat>
            <c:strRef>
              <c:f>'Executive Summary'!$A$63:$A$66</c:f>
              <c:strCache>
                <c:ptCount val="4"/>
                <c:pt idx="0">
                  <c:v>Sarah Johnson</c:v>
                </c:pt>
                <c:pt idx="1">
                  <c:v>Mike Chen</c:v>
                </c:pt>
                <c:pt idx="2">
                  <c:v>Lisa Wang</c:v>
                </c:pt>
                <c:pt idx="3">
                  <c:v>Tom Martinez</c:v>
                </c:pt>
              </c:strCache>
            </c:strRef>
          </c:cat>
          <c:val>
            <c:numRef>
              <c:f>'Executive Summary'!$C$63:$C$66</c:f>
              <c:numCache>
                <c:formatCode>General</c:formatCode>
                <c:ptCount val="4"/>
                <c:pt idx="0">
                  <c:v>95716.999999999971</c:v>
                </c:pt>
                <c:pt idx="1">
                  <c:v>134445.5</c:v>
                </c:pt>
                <c:pt idx="2">
                  <c:v>90159.599999999977</c:v>
                </c:pt>
                <c:pt idx="3">
                  <c:v>145038.5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4F-412B-B481-39E5F025D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5789824"/>
        <c:axId val="745788864"/>
      </c:barChart>
      <c:catAx>
        <c:axId val="74578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788864"/>
        <c:crosses val="autoZero"/>
        <c:auto val="1"/>
        <c:lblAlgn val="ctr"/>
        <c:lblOffset val="100"/>
        <c:noMultiLvlLbl val="0"/>
      </c:catAx>
      <c:valAx>
        <c:axId val="74578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5789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6E4F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B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Revenue &amp; Profit Trend —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B3A5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'Executive Summary'!$B$76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'Executive Summary'!$A$77:$A$88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'Executive Summary'!$B$77:$B$88</c:f>
              <c:numCache>
                <c:formatCode>General</c:formatCode>
                <c:ptCount val="12"/>
                <c:pt idx="0">
                  <c:v>33369.199999999997</c:v>
                </c:pt>
                <c:pt idx="1">
                  <c:v>31528.9</c:v>
                </c:pt>
                <c:pt idx="2">
                  <c:v>33443.600000000006</c:v>
                </c:pt>
                <c:pt idx="3">
                  <c:v>35031.699999999997</c:v>
                </c:pt>
                <c:pt idx="4">
                  <c:v>37767.4</c:v>
                </c:pt>
                <c:pt idx="5">
                  <c:v>39987.300000000003</c:v>
                </c:pt>
                <c:pt idx="6">
                  <c:v>37883.000000000007</c:v>
                </c:pt>
                <c:pt idx="7">
                  <c:v>42387.399999999994</c:v>
                </c:pt>
                <c:pt idx="8">
                  <c:v>35181</c:v>
                </c:pt>
                <c:pt idx="9">
                  <c:v>42542.3</c:v>
                </c:pt>
                <c:pt idx="10">
                  <c:v>36225</c:v>
                </c:pt>
                <c:pt idx="11">
                  <c:v>60013.799999999988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3B-4D3B-A9DE-62534087F7EF}"/>
            </c:ext>
          </c:extLst>
        </c:ser>
        <c:ser>
          <c:idx val="1"/>
          <c:order val="1"/>
          <c:tx>
            <c:strRef>
              <c:f>'Executive Summary'!$C$76</c:f>
              <c:strCache>
                <c:ptCount val="1"/>
                <c:pt idx="0">
                  <c:v>Profit</c:v>
                </c:pt>
              </c:strCache>
            </c:strRef>
          </c:tx>
          <c:spPr>
            <a:ln w="28575" cap="rnd">
              <a:solidFill>
                <a:srgbClr val="107C10"/>
              </a:solidFill>
              <a:prstDash val="solid"/>
              <a:round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'Executive Summary'!$A$77:$A$88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'Executive Summary'!$C$77:$C$88</c:f>
              <c:numCache>
                <c:formatCode>General</c:formatCode>
                <c:ptCount val="12"/>
                <c:pt idx="0">
                  <c:v>22220.600000000006</c:v>
                </c:pt>
                <c:pt idx="1">
                  <c:v>20883</c:v>
                </c:pt>
                <c:pt idx="2">
                  <c:v>22394</c:v>
                </c:pt>
                <c:pt idx="3">
                  <c:v>23225.399999999998</c:v>
                </c:pt>
                <c:pt idx="4">
                  <c:v>25236.3</c:v>
                </c:pt>
                <c:pt idx="5">
                  <c:v>26795.800000000003</c:v>
                </c:pt>
                <c:pt idx="6">
                  <c:v>25208.1</c:v>
                </c:pt>
                <c:pt idx="7">
                  <c:v>28156.499999999996</c:v>
                </c:pt>
                <c:pt idx="8">
                  <c:v>23607.099999999995</c:v>
                </c:pt>
                <c:pt idx="9">
                  <c:v>28284.899999999998</c:v>
                </c:pt>
                <c:pt idx="10">
                  <c:v>24164.399999999998</c:v>
                </c:pt>
                <c:pt idx="11">
                  <c:v>40166.499999999993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3B-4D3B-A9DE-62534087F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8128704"/>
        <c:axId val="2018125824"/>
      </c:lineChart>
      <c:catAx>
        <c:axId val="20181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125824"/>
        <c:crosses val="autoZero"/>
        <c:auto val="1"/>
        <c:lblAlgn val="ctr"/>
        <c:lblOffset val="100"/>
        <c:noMultiLvlLbl val="0"/>
      </c:catAx>
      <c:valAx>
        <c:axId val="201812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12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6E4F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B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Pipeline Value by Stage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B3A5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'Executive Summary'!$B$69</c:f>
              <c:strCache>
                <c:ptCount val="1"/>
                <c:pt idx="0">
                  <c:v>Est. Value</c:v>
                </c:pt>
              </c:strCache>
            </c:strRef>
          </c:tx>
          <c:dPt>
            <c:idx val="0"/>
            <c:bubble3D val="0"/>
            <c:spPr>
              <a:solidFill>
                <a:srgbClr val="107C1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6B-41B7-A00E-F29F383C5666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B6B-41B7-A00E-F29F383C5666}"/>
              </c:ext>
            </c:extLst>
          </c:dPt>
          <c:dPt>
            <c:idx val="2"/>
            <c:bubble3D val="0"/>
            <c:spPr>
              <a:solidFill>
                <a:srgbClr val="2E75B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6B-41B7-A00E-F29F383C5666}"/>
              </c:ext>
            </c:extLst>
          </c:dPt>
          <c:dPt>
            <c:idx val="3"/>
            <c:bubble3D val="0"/>
            <c:spPr>
              <a:solidFill>
                <a:srgbClr val="A5A5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B6B-41B7-A00E-F29F383C56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'Executive Summary'!$A$70:$A$73</c:f>
              <c:strCache>
                <c:ptCount val="4"/>
                <c:pt idx="0">
                  <c:v>Closing</c:v>
                </c:pt>
                <c:pt idx="1">
                  <c:v>Negotiation</c:v>
                </c:pt>
                <c:pt idx="2">
                  <c:v>Proposal</c:v>
                </c:pt>
                <c:pt idx="3">
                  <c:v>Qualification</c:v>
                </c:pt>
              </c:strCache>
            </c:strRef>
          </c:cat>
          <c:val>
            <c:numRef>
              <c:f>'Executive Summary'!$B$70:$B$73</c:f>
              <c:numCache>
                <c:formatCode>General</c:formatCode>
                <c:ptCount val="4"/>
                <c:pt idx="0">
                  <c:v>458000</c:v>
                </c:pt>
                <c:pt idx="1">
                  <c:v>1718000</c:v>
                </c:pt>
                <c:pt idx="2">
                  <c:v>2204000</c:v>
                </c:pt>
                <c:pt idx="3">
                  <c:v>2498000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B-41B7-A00E-F29F383C5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6E4F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B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Product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B3A5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Summary'!$B$91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2E75B6"/>
            </a:solidFill>
            <a:ln>
              <a:noFill/>
            </a:ln>
            <a:effectLst/>
          </c:spPr>
          <c:invertIfNegative val="0"/>
          <c:cat>
            <c:strRef>
              <c:f>'Executive Summary'!$A$92:$A$98</c:f>
              <c:strCache>
                <c:ptCount val="7"/>
                <c:pt idx="0">
                  <c:v>Water</c:v>
                </c:pt>
                <c:pt idx="1">
                  <c:v>Sparkling</c:v>
                </c:pt>
                <c:pt idx="2">
                  <c:v>Soft Drinks</c:v>
                </c:pt>
                <c:pt idx="3">
                  <c:v>Energy Drinks</c:v>
                </c:pt>
                <c:pt idx="4">
                  <c:v>Sports Drinks</c:v>
                </c:pt>
                <c:pt idx="5">
                  <c:v>Tea</c:v>
                </c:pt>
                <c:pt idx="6">
                  <c:v>Juices</c:v>
                </c:pt>
              </c:strCache>
            </c:strRef>
          </c:cat>
          <c:val>
            <c:numRef>
              <c:f>'Executive Summary'!$B$92:$B$98</c:f>
              <c:numCache>
                <c:formatCode>General</c:formatCode>
                <c:ptCount val="7"/>
                <c:pt idx="0">
                  <c:v>69851.599999999991</c:v>
                </c:pt>
                <c:pt idx="1">
                  <c:v>31510.5</c:v>
                </c:pt>
                <c:pt idx="2">
                  <c:v>150954.60000000003</c:v>
                </c:pt>
                <c:pt idx="3">
                  <c:v>75958.399999999994</c:v>
                </c:pt>
                <c:pt idx="4">
                  <c:v>100568.90000000001</c:v>
                </c:pt>
                <c:pt idx="5">
                  <c:v>17631.5</c:v>
                </c:pt>
                <c:pt idx="6">
                  <c:v>18885.099999999999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87-4510-ABC9-F0FC62604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07629888"/>
        <c:axId val="2107617408"/>
      </c:barChart>
      <c:catAx>
        <c:axId val="2107629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617408"/>
        <c:crosses val="autoZero"/>
        <c:auto val="1"/>
        <c:lblAlgn val="ctr"/>
        <c:lblOffset val="100"/>
        <c:noMultiLvlLbl val="0"/>
      </c:catAx>
      <c:valAx>
        <c:axId val="2107617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629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6E4F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B3A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Rep Target Achievement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B3A5C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Summary'!$B$101</c:f>
              <c:strCache>
                <c:ptCount val="1"/>
                <c:pt idx="0">
                  <c:v>Achievement %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'Executive Summary'!$A$102:$A$105</c:f>
              <c:strCache>
                <c:ptCount val="4"/>
                <c:pt idx="0">
                  <c:v>Sarah Johnson</c:v>
                </c:pt>
                <c:pt idx="1">
                  <c:v>Mike Chen</c:v>
                </c:pt>
                <c:pt idx="2">
                  <c:v>Lisa Wang</c:v>
                </c:pt>
                <c:pt idx="3">
                  <c:v>Tom Martinez</c:v>
                </c:pt>
              </c:strCache>
            </c:strRef>
          </c:cat>
          <c:val>
            <c:numRef>
              <c:f>'Executive Summary'!$B$102:$B$105</c:f>
              <c:numCache>
                <c:formatCode>General</c:formatCode>
                <c:ptCount val="4"/>
                <c:pt idx="0">
                  <c:v>0.47858499999999987</c:v>
                </c:pt>
                <c:pt idx="1">
                  <c:v>0.61111590909090907</c:v>
                </c:pt>
                <c:pt idx="2">
                  <c:v>0.42933142857142848</c:v>
                </c:pt>
                <c:pt idx="3">
                  <c:v>0.58015399999999995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3-45AA-BBCC-5A8399913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107620768"/>
        <c:axId val="2107619328"/>
      </c:barChart>
      <c:catAx>
        <c:axId val="2107620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619328"/>
        <c:crosses val="autoZero"/>
        <c:auto val="1"/>
        <c:lblAlgn val="ctr"/>
        <c:lblOffset val="100"/>
        <c:noMultiLvlLbl val="0"/>
      </c:catAx>
      <c:valAx>
        <c:axId val="210761932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62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6E4F0"/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593725</xdr:colOff>
      <xdr:row>1</xdr:row>
      <xdr:rowOff>187325</xdr:rowOff>
    </xdr:from>
    <xdr:to>
      <xdr:col>17</xdr:col>
      <xdr:colOff>593725</xdr:colOff>
      <xdr:row>19</xdr:row>
      <xdr:rowOff>187325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761504-1677-D52A-13D3-80652B9C2D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959987-81D7-874B-32B3-E7AA495A92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0</xdr:rowOff>
    </xdr:from>
    <xdr:to>
      <xdr:col>6</xdr:col>
      <xdr:colOff>0</xdr:colOff>
      <xdr:row>68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8D86A1-80AF-9528-F9C4-EAB72093FF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59</xdr:row>
      <xdr:rowOff>0</xdr:rowOff>
    </xdr:from>
    <xdr:to>
      <xdr:col>12</xdr:col>
      <xdr:colOff>0</xdr:colOff>
      <xdr:row>68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DF7BE2-9700-A2F5-3B53-B81CEC69C8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68</xdr:row>
      <xdr:rowOff>0</xdr:rowOff>
    </xdr:from>
    <xdr:to>
      <xdr:col>6</xdr:col>
      <xdr:colOff>0</xdr:colOff>
      <xdr:row>77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26210C3-3BC7-52E7-0CD6-1475FEA67F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68</xdr:row>
      <xdr:rowOff>0</xdr:rowOff>
    </xdr:from>
    <xdr:to>
      <xdr:col>12</xdr:col>
      <xdr:colOff>0</xdr:colOff>
      <xdr:row>77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73D3391-0594-75C9-A358-EC8E4E642F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D81879-7A2B-45AE-AF87-87CF51B8769F}" name="MonthlyTrends" displayName="MonthlyTrends" ref="A3:H15" totalsRowShown="0" headerRowDxfId="31">
  <autoFilter ref="A3:H15" xr:uid="{ADD81879-7A2B-45AE-AF87-87CF51B8769F}"/>
  <tableColumns count="8">
    <tableColumn id="1" xr3:uid="{D2258C96-9720-4ADE-A772-27958925BECA}" name="Month"/>
    <tableColumn id="2" xr3:uid="{1A21C6DD-FC2E-490E-8B55-E0B0C5116AC0}" name="Revenue" dataDxfId="30"/>
    <tableColumn id="3" xr3:uid="{F8F68148-08FD-4F78-8EE8-551C9F31BD33}" name="Profit" dataDxfId="29"/>
    <tableColumn id="4" xr3:uid="{370C1D70-A6B9-41C0-874E-2EAD724F8CC3}" name="Orders"/>
    <tableColumn id="5" xr3:uid="{10B99262-2B06-4C88-871D-9B8DABDB2EC0}" name="Units Sold" dataDxfId="28"/>
    <tableColumn id="6" xr3:uid="{18523478-DC0E-4DC9-A6F6-AAD9039BC615}" name="Avg Order Value" dataDxfId="27">
      <calculatedColumnFormula>IF(D4=0,0,B4/D4)</calculatedColumnFormula>
    </tableColumn>
    <tableColumn id="7" xr3:uid="{615C395D-E285-4CC3-97E2-98AAD6FF55FD}" name="Profit Margin %" dataDxfId="26">
      <calculatedColumnFormula>IF(B4=0,0,C4/B4)</calculatedColumnFormula>
    </tableColumn>
    <tableColumn id="8" xr3:uid="{84B4DB55-9542-4C2D-BCF1-24559FFA21A8}" name="MoM Growth %" dataDxfId="25">
      <calculatedColumnFormula>IF(B3=0,0,(B4-B3)/B3)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61461B-4A5E-4B86-92AF-4045A9EB3E32}" name="SalesData" displayName="SalesData" ref="A1:O264" totalsRowShown="0" headerRowDxfId="24">
  <autoFilter ref="A1:O264" xr:uid="{9261461B-4A5E-4B86-92AF-4045A9EB3E32}"/>
  <tableColumns count="15">
    <tableColumn id="1" xr3:uid="{7D5F9C41-709C-49C9-A211-6A52F3AAB124}" name="Order ID"/>
    <tableColumn id="2" xr3:uid="{A6823E35-2175-4CF2-B530-F94A8FBFFDC3}" name="Order Date" dataDxfId="23"/>
    <tableColumn id="3" xr3:uid="{CC885891-0F71-4690-AB4E-22E3FF008BE0}" name="Customer ID"/>
    <tableColumn id="4" xr3:uid="{2723ED89-B2D4-4DD7-9758-7AF63DF88DCE}" name="Customer Name"/>
    <tableColumn id="5" xr3:uid="{6A93932B-56B0-4165-99DF-68A2F8E66F98}" name="Product ID"/>
    <tableColumn id="6" xr3:uid="{6F941227-16D4-41E6-8D47-C8E37A7D1989}" name="Product Name"/>
    <tableColumn id="7" xr3:uid="{E4647DD7-0E46-4550-BFEA-7F46485EC56E}" name="Category"/>
    <tableColumn id="8" xr3:uid="{13BF6F2C-57C3-442B-8F7D-ADD2AD5A5007}" name="Quantity"/>
    <tableColumn id="9" xr3:uid="{2A448015-CB15-4C2D-964B-70A4708BC927}" name="Unit Price ($)" dataDxfId="22"/>
    <tableColumn id="10" xr3:uid="{B64F43FE-F43B-4155-84D6-D8CCC4315CCF}" name="Total Revenue ($)" dataDxfId="21">
      <calculatedColumnFormula>H2*I2</calculatedColumnFormula>
    </tableColumn>
    <tableColumn id="11" xr3:uid="{FB772327-B45F-4C9B-9F82-9E9B560D9D38}" name="Cost ($)" dataDxfId="20">
      <calculatedColumnFormula>H2*VLOOKUP(E2,'Product Catalog'!A:F,6,FALSE)</calculatedColumnFormula>
    </tableColumn>
    <tableColumn id="12" xr3:uid="{CB82DD41-9F78-4C54-996E-EE8C6FFA19EC}" name="Profit ($)" dataDxfId="19">
      <calculatedColumnFormula>J2-K2</calculatedColumnFormula>
    </tableColumn>
    <tableColumn id="13" xr3:uid="{3B7330BD-4513-46E6-98D8-8BC457213C06}" name="Sales Rep"/>
    <tableColumn id="14" xr3:uid="{BF7A9CFA-581C-4C46-A564-6DE8C96E1E85}" name="Region"/>
    <tableColumn id="15" xr3:uid="{E7EAF1E5-1B52-4189-BEED-BF47872EFAE4}" name="Payment Statu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CC973B-C105-4497-97F2-A1260AD2F172}" name="Products" displayName="Products" ref="A1:H21" totalsRowShown="0" headerRowDxfId="18">
  <autoFilter ref="A1:H21" xr:uid="{CACC973B-C105-4497-97F2-A1260AD2F172}"/>
  <tableColumns count="8">
    <tableColumn id="1" xr3:uid="{D8E85BB1-98E9-49EB-9ED0-9B2B5F045C27}" name="Product ID"/>
    <tableColumn id="2" xr3:uid="{E7CDDBF4-CAE2-4B2F-8739-8C6C27BA88F6}" name="Product Name"/>
    <tableColumn id="3" xr3:uid="{A707110C-9A8D-437D-B9E6-6E84B395FF96}" name="Category"/>
    <tableColumn id="4" xr3:uid="{0EE3AC8F-2970-437A-B8C2-76D5C621FCE7}" name="Size (L)"/>
    <tableColumn id="5" xr3:uid="{B4610CBE-42F5-4253-B695-1A029FEAC3BF}" name="Unit Price ($)" dataDxfId="17"/>
    <tableColumn id="6" xr3:uid="{8DBB0173-ADBF-4290-B027-4B5893316AB5}" name="Cost ($)" dataDxfId="16"/>
    <tableColumn id="7" xr3:uid="{8B543B18-5759-4DC8-855C-C61BB281EBC7}" name="Margin %" dataDxfId="15">
      <calculatedColumnFormula>(E2-F2)/E2</calculatedColumnFormula>
    </tableColumn>
    <tableColumn id="8" xr3:uid="{A8A9E6D9-C0DF-40BE-951F-6EC97AB23FE2}" name="Statu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D298FE-661A-45FE-A231-FEDC5E85F783}" name="Customers" displayName="Customers" ref="A1:J111" totalsRowShown="0" headerRowDxfId="14">
  <autoFilter ref="A1:J111" xr:uid="{60D298FE-661A-45FE-A231-FEDC5E85F783}"/>
  <tableColumns count="10">
    <tableColumn id="1" xr3:uid="{576B691C-C385-448C-A27F-4FA6F04F9340}" name="Customer ID"/>
    <tableColumn id="2" xr3:uid="{59616EC8-FE0B-4879-88DB-64030FD8E759}" name="Company Name"/>
    <tableColumn id="3" xr3:uid="{D7BEC18B-05BA-4C77-9B64-078F6AD8806B}" name="Contact Name"/>
    <tableColumn id="4" xr3:uid="{CD4E86C1-8F0A-4CED-BD0A-AC7B09CDEFCD}" name="Region"/>
    <tableColumn id="5" xr3:uid="{6784F127-D7CB-4B68-85AF-D27392FD2025}" name="City"/>
    <tableColumn id="6" xr3:uid="{D65F0349-557D-4C6F-B1C4-9AF3D077407D}" name="Customer Type"/>
    <tableColumn id="7" xr3:uid="{2E6F243C-EA80-4E81-8832-BB3BE2EFB66B}" name="Credit Limit ($)" dataDxfId="13"/>
    <tableColumn id="8" xr3:uid="{2BFA62F9-356B-432C-9569-86372F34D0BE}" name="Payment Terms"/>
    <tableColumn id="9" xr3:uid="{66A146FA-3553-4582-8DD8-0E492548B402}" name="Account Status"/>
    <tableColumn id="10" xr3:uid="{8C03B1E5-83FB-4C26-AEF1-1BF849AC8124}" name="Assigned Rep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41FCA5-1FEC-4103-BD82-B21FE14479A6}" name="SalesReps" displayName="SalesReps" ref="A1:J7" totalsRowShown="0" headerRowDxfId="12">
  <autoFilter ref="A1:J7" xr:uid="{4041FCA5-1FEC-4103-BD82-B21FE14479A6}"/>
  <tableColumns count="10">
    <tableColumn id="1" xr3:uid="{E4575169-D5F8-40AE-BC1A-885D98EAD062}" name="Rep ID"/>
    <tableColumn id="2" xr3:uid="{BA96204B-A583-4276-8600-CEA78ACFDEE2}" name="Rep Name"/>
    <tableColumn id="3" xr3:uid="{EF431DD1-861B-413E-ACB3-716E9F6F0DEE}" name="Email"/>
    <tableColumn id="4" xr3:uid="{87DB8BB3-DE98-446F-B420-4E6F9868CC5D}" name="Region"/>
    <tableColumn id="5" xr3:uid="{70E5FB29-117E-40E2-A408-386CF3283FDE}" name="Territory"/>
    <tableColumn id="6" xr3:uid="{ED9EA0D4-07FE-4FEF-AD91-F99E38D55B48}" name="Hire Date" dataDxfId="11"/>
    <tableColumn id="7" xr3:uid="{B34B71B3-8BD0-4434-B6C8-1BC99353453A}" name="Base Salary ($)" dataDxfId="10"/>
    <tableColumn id="8" xr3:uid="{02BCD8BA-31A6-49D4-9583-17280943BAF4}" name="Commission Rate %" dataDxfId="9"/>
    <tableColumn id="9" xr3:uid="{10D4C051-FDCF-4F48-B63E-C7DAA7D85A6E}" name="Phone"/>
    <tableColumn id="10" xr3:uid="{63FE9650-B381-457D-8C3E-2DB5F6D98ECE}" name="Manager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374F10-2920-4C91-80CA-DC77E39E0496}" name="Pipeline" displayName="Pipeline" ref="A1:M71" totalsRowShown="0" headerRowDxfId="8">
  <autoFilter ref="A1:M71" xr:uid="{DC374F10-2920-4C91-80CA-DC77E39E0496}"/>
  <tableColumns count="13">
    <tableColumn id="1" xr3:uid="{CEDF39BE-DAD7-4272-A72F-47B005C88067}" name="Opportunity ID"/>
    <tableColumn id="2" xr3:uid="{6EC63762-E00F-496D-B1A4-90A7C6654A09}" name="Customer"/>
    <tableColumn id="3" xr3:uid="{7492DF10-8FA7-490B-9FC9-2DDCA628C4F9}" name="Contact"/>
    <tableColumn id="4" xr3:uid="{7BB64F5C-EA01-4EEC-BFD9-E53881841092}" name="Product Interest"/>
    <tableColumn id="5" xr3:uid="{2E5CF20A-92F6-4D7A-993F-6B442BC193B2}" name="Est. Value ($)" dataDxfId="7"/>
    <tableColumn id="6" xr3:uid="{533AB6F1-9003-4CB7-84DF-337AC6F304AC}" name="Probability %" dataDxfId="6"/>
    <tableColumn id="7" xr3:uid="{FD593F37-6847-4CA0-B477-7D84C0FF103E}" name="Weighted Value ($)" dataDxfId="5">
      <calculatedColumnFormula>E2*F2/100</calculatedColumnFormula>
    </tableColumn>
    <tableColumn id="8" xr3:uid="{641FDDDE-3559-4958-9E2B-E193489D7408}" name="Stage"/>
    <tableColumn id="9" xr3:uid="{D5F2E2B6-01A3-4D5C-86F8-4B0FC20D2154}" name="Expected Close" dataDxfId="4"/>
    <tableColumn id="10" xr3:uid="{D52E8A86-1790-4C8D-BA63-C113C6F52ABA}" name="Sales Rep"/>
    <tableColumn id="11" xr3:uid="{B97EA300-FB36-4A92-846C-2CBB24D29089}" name="Next Action"/>
    <tableColumn id="12" xr3:uid="{BB13BBF6-214A-4BF2-A973-92E20C426752}" name="Days in Stage"/>
    <tableColumn id="13" xr3:uid="{2C9ECCB6-B76F-4CDE-B495-2BD3EF0465A7}" name="Notes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7FE9FE-3365-43FE-8FA7-234FCF18488C}" name="Inventory" displayName="Inventory" ref="A1:L21" totalsRowShown="0" headerRowDxfId="3">
  <autoFilter ref="A1:L21" xr:uid="{F77FE9FE-3365-43FE-8FA7-234FCF18488C}"/>
  <tableColumns count="12">
    <tableColumn id="1" xr3:uid="{AAB61B6A-C98A-440D-8A12-08C13DDD6F17}" name="Product ID"/>
    <tableColumn id="2" xr3:uid="{D506AB06-0AA3-48B9-8341-5F9A7879F560}" name="Product Name"/>
    <tableColumn id="3" xr3:uid="{56FBC4E3-B6FD-42A5-8F4D-7F82F7C2A6F4}" name="Category"/>
    <tableColumn id="4" xr3:uid="{3BB5591E-4342-4319-820C-E7F21671BE92}" name="Current Stock"/>
    <tableColumn id="5" xr3:uid="{B2AF9617-CA83-4E21-A6CB-09E10A61DF8F}" name="Reorder Level"/>
    <tableColumn id="6" xr3:uid="{875F866D-E521-4CF4-B2CD-FE3CD0D37EE0}" name="Reorder Qty"/>
    <tableColumn id="7" xr3:uid="{AFC4EEBE-6453-4667-B5B1-D6807AAC1A95}" name="Status">
      <calculatedColumnFormula>IF(D2&lt;=E2,"⚠ REORDER",IF(D2&lt;=E2*1.5,"⚡ LOW","✓ OK"))</calculatedColumnFormula>
    </tableColumn>
    <tableColumn id="8" xr3:uid="{4438C393-A453-4A8A-BC51-D26C4EB42ADA}" name="Warehouse"/>
    <tableColumn id="9" xr3:uid="{9524004C-E20B-4F31-9E39-86B592C3DC0E}" name="Last Restock Date" dataDxfId="2"/>
    <tableColumn id="10" xr3:uid="{D30B0AF2-53D3-4836-BCCE-AF0E0158FE44}" name="Unit Cost ($)" dataDxfId="1"/>
    <tableColumn id="11" xr3:uid="{1CFD2FB0-CEE8-4E36-9BBA-84DF61ADD37E}" name="Inventory Value ($)" dataDxfId="0">
      <calculatedColumnFormula>D2*J2</calculatedColumnFormula>
    </tableColumn>
    <tableColumn id="12" xr3:uid="{22633C34-8DB9-4648-9377-D1A514832923}" name="Days Supply">
      <calculatedColumnFormula>ROUND(D2/100,0)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5F0D-BB22-4C3B-8B0D-6C4DAEB430FE}">
  <dimension ref="A1:H34"/>
  <sheetViews>
    <sheetView workbookViewId="0">
      <selection sqref="A1:H1"/>
    </sheetView>
  </sheetViews>
  <sheetFormatPr defaultRowHeight="15" x14ac:dyDescent="0.25"/>
  <cols>
    <col min="1" max="1" width="12.85546875" bestFit="1" customWidth="1"/>
    <col min="2" max="2" width="11.28515625" bestFit="1" customWidth="1"/>
    <col min="3" max="3" width="8.5703125" bestFit="1" customWidth="1"/>
    <col min="4" max="4" width="10.140625" bestFit="1" customWidth="1"/>
    <col min="5" max="5" width="13.42578125" bestFit="1" customWidth="1"/>
    <col min="6" max="6" width="17.5703125" bestFit="1" customWidth="1"/>
    <col min="7" max="7" width="18.42578125" bestFit="1" customWidth="1"/>
    <col min="8" max="8" width="16.7109375" bestFit="1" customWidth="1"/>
  </cols>
  <sheetData>
    <row r="1" spans="1:8" ht="18.75" x14ac:dyDescent="0.3">
      <c r="A1" s="29" t="s">
        <v>494</v>
      </c>
      <c r="B1" s="28"/>
      <c r="C1" s="28"/>
      <c r="D1" s="28"/>
      <c r="E1" s="28"/>
      <c r="F1" s="28"/>
      <c r="G1" s="28"/>
      <c r="H1" s="28"/>
    </row>
    <row r="3" spans="1:8" x14ac:dyDescent="0.25">
      <c r="A3" s="18" t="s">
        <v>257</v>
      </c>
      <c r="B3" s="18" t="s">
        <v>405</v>
      </c>
      <c r="C3" s="18" t="s">
        <v>495</v>
      </c>
      <c r="D3" s="18" t="s">
        <v>406</v>
      </c>
      <c r="E3" s="18" t="s">
        <v>408</v>
      </c>
      <c r="F3" s="18" t="s">
        <v>401</v>
      </c>
      <c r="G3" s="18" t="s">
        <v>282</v>
      </c>
      <c r="H3" s="18" t="s">
        <v>496</v>
      </c>
    </row>
    <row r="4" spans="1:8" x14ac:dyDescent="0.25">
      <c r="A4" t="s">
        <v>270</v>
      </c>
      <c r="B4" s="5">
        <f>SUMIFS('Sales Data'!$J:$J,'Sales Data'!$B:$B,"&gt;=2024-01-01",'Sales Data'!$B:$B,"&lt;2024-02-01")</f>
        <v>33369.199999999997</v>
      </c>
      <c r="C4" s="5">
        <f>SUMIFS('Sales Data'!$L:$L,'Sales Data'!$B:$B,"&gt;=2024-01-01",'Sales Data'!$B:$B,"&lt;2024-02-01")</f>
        <v>22220.600000000006</v>
      </c>
      <c r="D4">
        <f>COUNTIFS('Sales Data'!$B:$B,"&gt;=2024-01-01",'Sales Data'!$B:$B,"&lt;2024-02-01")</f>
        <v>22</v>
      </c>
      <c r="E4" s="12">
        <f>SUMIFS('Sales Data'!$H:$H,'Sales Data'!$B:$B,"&gt;=2024-01-01",'Sales Data'!$B:$B,"&lt;2024-02-01")</f>
        <v>16880</v>
      </c>
      <c r="F4" s="5">
        <f t="shared" ref="F4:F15" si="0">IF(D4=0,0,B4/D4)</f>
        <v>1516.7818181818182</v>
      </c>
      <c r="G4" s="1">
        <f t="shared" ref="G4:G15" si="1">IF(B4=0,0,C4/B4)</f>
        <v>0.66590148999676368</v>
      </c>
      <c r="H4" t="str">
        <f>"-"</f>
        <v>-</v>
      </c>
    </row>
    <row r="5" spans="1:8" x14ac:dyDescent="0.25">
      <c r="A5" t="s">
        <v>271</v>
      </c>
      <c r="B5" s="5">
        <f>SUMIFS('Sales Data'!$J:$J,'Sales Data'!$B:$B,"&gt;=2024-02-01",'Sales Data'!$B:$B,"&lt;2024-03-01")</f>
        <v>31528.9</v>
      </c>
      <c r="C5" s="5">
        <f>SUMIFS('Sales Data'!$L:$L,'Sales Data'!$B:$B,"&gt;=2024-02-01",'Sales Data'!$B:$B,"&lt;2024-03-01")</f>
        <v>20883</v>
      </c>
      <c r="D5">
        <f>COUNTIFS('Sales Data'!$B:$B,"&gt;=2024-02-01",'Sales Data'!$B:$B,"&lt;2024-03-01")</f>
        <v>22</v>
      </c>
      <c r="E5" s="12">
        <f>SUMIFS('Sales Data'!$H:$H,'Sales Data'!$B:$B,"&gt;=2024-02-01",'Sales Data'!$B:$B,"&lt;2024-03-01")</f>
        <v>16110</v>
      </c>
      <c r="F5" s="5">
        <f t="shared" si="0"/>
        <v>1433.1318181818183</v>
      </c>
      <c r="G5" s="1">
        <f t="shared" si="1"/>
        <v>0.66234470596817518</v>
      </c>
      <c r="H5" s="1">
        <f t="shared" ref="H5:H15" si="2">IF(B4=0,0,(B5-B4)/B4)</f>
        <v>-5.5149658966951433E-2</v>
      </c>
    </row>
    <row r="6" spans="1:8" x14ac:dyDescent="0.25">
      <c r="A6" t="s">
        <v>272</v>
      </c>
      <c r="B6" s="5">
        <f>SUMIFS('Sales Data'!$J:$J,'Sales Data'!$B:$B,"&gt;=2024-03-01",'Sales Data'!$B:$B,"&lt;2024-04-01")</f>
        <v>33443.600000000006</v>
      </c>
      <c r="C6" s="5">
        <f>SUMIFS('Sales Data'!$L:$L,'Sales Data'!$B:$B,"&gt;=2024-03-01",'Sales Data'!$B:$B,"&lt;2024-04-01")</f>
        <v>22394</v>
      </c>
      <c r="D6">
        <f>COUNTIFS('Sales Data'!$B:$B,"&gt;=2024-03-01",'Sales Data'!$B:$B,"&lt;2024-04-01")</f>
        <v>22</v>
      </c>
      <c r="E6" s="12">
        <f>SUMIFS('Sales Data'!$H:$H,'Sales Data'!$B:$B,"&gt;=2024-03-01",'Sales Data'!$B:$B,"&lt;2024-04-01")</f>
        <v>16540</v>
      </c>
      <c r="F6" s="5">
        <f t="shared" si="0"/>
        <v>1520.1636363636367</v>
      </c>
      <c r="G6" s="1">
        <f t="shared" si="1"/>
        <v>0.6696049468358668</v>
      </c>
      <c r="H6" s="1">
        <f t="shared" si="2"/>
        <v>6.0728411076821719E-2</v>
      </c>
    </row>
    <row r="7" spans="1:8" x14ac:dyDescent="0.25">
      <c r="A7" t="s">
        <v>273</v>
      </c>
      <c r="B7" s="5">
        <f>SUMIFS('Sales Data'!$J:$J,'Sales Data'!$B:$B,"&gt;=2024-04-01",'Sales Data'!$B:$B,"&lt;2024-05-01")</f>
        <v>35031.699999999997</v>
      </c>
      <c r="C7" s="5">
        <f>SUMIFS('Sales Data'!$L:$L,'Sales Data'!$B:$B,"&gt;=2024-04-01",'Sales Data'!$B:$B,"&lt;2024-05-01")</f>
        <v>23225.399999999998</v>
      </c>
      <c r="D7">
        <f>COUNTIFS('Sales Data'!$B:$B,"&gt;=2024-04-01",'Sales Data'!$B:$B,"&lt;2024-05-01")</f>
        <v>22</v>
      </c>
      <c r="E7" s="12">
        <f>SUMIFS('Sales Data'!$H:$H,'Sales Data'!$B:$B,"&gt;=2024-04-01",'Sales Data'!$B:$B,"&lt;2024-05-01")</f>
        <v>15930</v>
      </c>
      <c r="F7" s="5">
        <f t="shared" si="0"/>
        <v>1592.35</v>
      </c>
      <c r="G7" s="1">
        <f t="shared" si="1"/>
        <v>0.66298238452601499</v>
      </c>
      <c r="H7" s="1">
        <f t="shared" si="2"/>
        <v>4.748591658792687E-2</v>
      </c>
    </row>
    <row r="8" spans="1:8" x14ac:dyDescent="0.25">
      <c r="A8" t="s">
        <v>274</v>
      </c>
      <c r="B8" s="5">
        <f>SUMIFS('Sales Data'!$J:$J,'Sales Data'!$B:$B,"&gt;=2024-05-01",'Sales Data'!$B:$B,"&lt;2024-06-01")</f>
        <v>37767.4</v>
      </c>
      <c r="C8" s="5">
        <f>SUMIFS('Sales Data'!$L:$L,'Sales Data'!$B:$B,"&gt;=2024-05-01",'Sales Data'!$B:$B,"&lt;2024-06-01")</f>
        <v>25236.3</v>
      </c>
      <c r="D8">
        <f>COUNTIFS('Sales Data'!$B:$B,"&gt;=2024-05-01",'Sales Data'!$B:$B,"&lt;2024-06-01")</f>
        <v>22</v>
      </c>
      <c r="E8" s="12">
        <f>SUMIFS('Sales Data'!$H:$H,'Sales Data'!$B:$B,"&gt;=2024-05-01",'Sales Data'!$B:$B,"&lt;2024-06-01")</f>
        <v>18560</v>
      </c>
      <c r="F8" s="5">
        <f t="shared" si="0"/>
        <v>1716.7</v>
      </c>
      <c r="G8" s="1">
        <f t="shared" si="1"/>
        <v>0.66820326524992446</v>
      </c>
      <c r="H8" s="1">
        <f t="shared" si="2"/>
        <v>7.8092127986937682E-2</v>
      </c>
    </row>
    <row r="9" spans="1:8" x14ac:dyDescent="0.25">
      <c r="A9" t="s">
        <v>478</v>
      </c>
      <c r="B9" s="5">
        <f>SUMIFS('Sales Data'!$J:$J,'Sales Data'!$B:$B,"&gt;=2024-06-01",'Sales Data'!$B:$B,"&lt;2024-07-01")</f>
        <v>39987.300000000003</v>
      </c>
      <c r="C9" s="5">
        <f>SUMIFS('Sales Data'!$L:$L,'Sales Data'!$B:$B,"&gt;=2024-06-01",'Sales Data'!$B:$B,"&lt;2024-07-01")</f>
        <v>26795.800000000003</v>
      </c>
      <c r="D9">
        <f>COUNTIFS('Sales Data'!$B:$B,"&gt;=2024-06-01",'Sales Data'!$B:$B,"&lt;2024-07-01")</f>
        <v>21</v>
      </c>
      <c r="E9" s="12">
        <f>SUMIFS('Sales Data'!$H:$H,'Sales Data'!$B:$B,"&gt;=2024-06-01",'Sales Data'!$B:$B,"&lt;2024-07-01")</f>
        <v>19370</v>
      </c>
      <c r="F9" s="5">
        <f t="shared" si="0"/>
        <v>1904.1571428571431</v>
      </c>
      <c r="G9" s="1">
        <f t="shared" si="1"/>
        <v>0.67010775921355037</v>
      </c>
      <c r="H9" s="1">
        <f t="shared" si="2"/>
        <v>5.8778205542346078E-2</v>
      </c>
    </row>
    <row r="10" spans="1:8" x14ac:dyDescent="0.25">
      <c r="A10" t="s">
        <v>479</v>
      </c>
      <c r="B10" s="5">
        <f>SUMIFS('Sales Data'!$J:$J,'Sales Data'!$B:$B,"&gt;=2024-07-01",'Sales Data'!$B:$B,"&lt;2024-08-01")</f>
        <v>37883.000000000007</v>
      </c>
      <c r="C10" s="5">
        <f>SUMIFS('Sales Data'!$L:$L,'Sales Data'!$B:$B,"&gt;=2024-07-01",'Sales Data'!$B:$B,"&lt;2024-08-01")</f>
        <v>25208.1</v>
      </c>
      <c r="D10">
        <f>COUNTIFS('Sales Data'!$B:$B,"&gt;=2024-07-01",'Sales Data'!$B:$B,"&lt;2024-08-01")</f>
        <v>21</v>
      </c>
      <c r="E10" s="12">
        <f>SUMIFS('Sales Data'!$H:$H,'Sales Data'!$B:$B,"&gt;=2024-07-01",'Sales Data'!$B:$B,"&lt;2024-08-01")</f>
        <v>18800</v>
      </c>
      <c r="F10" s="5">
        <f t="shared" si="0"/>
        <v>1803.9523809523812</v>
      </c>
      <c r="G10" s="1">
        <f t="shared" si="1"/>
        <v>0.66541984531320097</v>
      </c>
      <c r="H10" s="1">
        <f t="shared" si="2"/>
        <v>-5.2624208186098975E-2</v>
      </c>
    </row>
    <row r="11" spans="1:8" x14ac:dyDescent="0.25">
      <c r="A11" t="s">
        <v>480</v>
      </c>
      <c r="B11" s="5">
        <f>SUMIFS('Sales Data'!$J:$J,'Sales Data'!$B:$B,"&gt;=2024-08-01",'Sales Data'!$B:$B,"&lt;2024-09-01")</f>
        <v>42387.399999999994</v>
      </c>
      <c r="C11" s="5">
        <f>SUMIFS('Sales Data'!$L:$L,'Sales Data'!$B:$B,"&gt;=2024-08-01",'Sales Data'!$B:$B,"&lt;2024-09-01")</f>
        <v>28156.499999999996</v>
      </c>
      <c r="D11">
        <f>COUNTIFS('Sales Data'!$B:$B,"&gt;=2024-08-01",'Sales Data'!$B:$B,"&lt;2024-09-01")</f>
        <v>21</v>
      </c>
      <c r="E11" s="12">
        <f>SUMIFS('Sales Data'!$H:$H,'Sales Data'!$B:$B,"&gt;=2024-08-01",'Sales Data'!$B:$B,"&lt;2024-09-01")</f>
        <v>20460</v>
      </c>
      <c r="F11" s="5">
        <f t="shared" si="0"/>
        <v>2018.4476190476187</v>
      </c>
      <c r="G11" s="1">
        <f t="shared" si="1"/>
        <v>0.66426579596766966</v>
      </c>
      <c r="H11" s="1">
        <f t="shared" si="2"/>
        <v>0.11890293799329478</v>
      </c>
    </row>
    <row r="12" spans="1:8" x14ac:dyDescent="0.25">
      <c r="A12" t="s">
        <v>481</v>
      </c>
      <c r="B12" s="5">
        <f>SUMIFS('Sales Data'!$J:$J,'Sales Data'!$B:$B,"&gt;=2024-09-01",'Sales Data'!$B:$B,"&lt;2024-10-01")</f>
        <v>35181</v>
      </c>
      <c r="C12" s="5">
        <f>SUMIFS('Sales Data'!$L:$L,'Sales Data'!$B:$B,"&gt;=2024-09-01",'Sales Data'!$B:$B,"&lt;2024-10-01")</f>
        <v>23607.099999999995</v>
      </c>
      <c r="D12">
        <f>COUNTIFS('Sales Data'!$B:$B,"&gt;=2024-09-01",'Sales Data'!$B:$B,"&lt;2024-10-01")</f>
        <v>21</v>
      </c>
      <c r="E12" s="12">
        <f>SUMIFS('Sales Data'!$H:$H,'Sales Data'!$B:$B,"&gt;=2024-09-01",'Sales Data'!$B:$B,"&lt;2024-10-01")</f>
        <v>17000</v>
      </c>
      <c r="F12" s="5">
        <f t="shared" si="0"/>
        <v>1675.2857142857142</v>
      </c>
      <c r="G12" s="1">
        <f t="shared" si="1"/>
        <v>0.67101844745743422</v>
      </c>
      <c r="H12" s="1">
        <f t="shared" si="2"/>
        <v>-0.17001278681872431</v>
      </c>
    </row>
    <row r="13" spans="1:8" x14ac:dyDescent="0.25">
      <c r="A13" t="s">
        <v>482</v>
      </c>
      <c r="B13" s="5">
        <f>SUMIFS('Sales Data'!$J:$J,'Sales Data'!$B:$B,"&gt;=2024-10-01",'Sales Data'!$B:$B,"&lt;2024-11-01")</f>
        <v>42542.3</v>
      </c>
      <c r="C13" s="5">
        <f>SUMIFS('Sales Data'!$L:$L,'Sales Data'!$B:$B,"&gt;=2024-10-01",'Sales Data'!$B:$B,"&lt;2024-11-01")</f>
        <v>28284.899999999998</v>
      </c>
      <c r="D13">
        <f>COUNTIFS('Sales Data'!$B:$B,"&gt;=2024-10-01",'Sales Data'!$B:$B,"&lt;2024-11-01")</f>
        <v>22</v>
      </c>
      <c r="E13" s="12">
        <f>SUMIFS('Sales Data'!$H:$H,'Sales Data'!$B:$B,"&gt;=2024-10-01",'Sales Data'!$B:$B,"&lt;2024-11-01")</f>
        <v>19970</v>
      </c>
      <c r="F13" s="5">
        <f t="shared" si="0"/>
        <v>1933.7409090909093</v>
      </c>
      <c r="G13" s="1">
        <f t="shared" si="1"/>
        <v>0.66486532227923723</v>
      </c>
      <c r="H13" s="1">
        <f t="shared" si="2"/>
        <v>0.2092407833773913</v>
      </c>
    </row>
    <row r="14" spans="1:8" x14ac:dyDescent="0.25">
      <c r="A14" t="s">
        <v>483</v>
      </c>
      <c r="B14" s="5">
        <f>SUMIFS('Sales Data'!$J:$J,'Sales Data'!$B:$B,"&gt;=2024-11-01",'Sales Data'!$B:$B,"&lt;2024-12-01")</f>
        <v>36225</v>
      </c>
      <c r="C14" s="5">
        <f>SUMIFS('Sales Data'!$L:$L,'Sales Data'!$B:$B,"&gt;=2024-11-01",'Sales Data'!$B:$B,"&lt;2024-12-01")</f>
        <v>24164.399999999998</v>
      </c>
      <c r="D14">
        <f>COUNTIFS('Sales Data'!$B:$B,"&gt;=2024-11-01",'Sales Data'!$B:$B,"&lt;2024-12-01")</f>
        <v>22</v>
      </c>
      <c r="E14" s="12">
        <f>SUMIFS('Sales Data'!$H:$H,'Sales Data'!$B:$B,"&gt;=2024-11-01",'Sales Data'!$B:$B,"&lt;2024-12-01")</f>
        <v>16100</v>
      </c>
      <c r="F14" s="5">
        <f t="shared" si="0"/>
        <v>1646.590909090909</v>
      </c>
      <c r="G14" s="1">
        <f t="shared" si="1"/>
        <v>0.66706418219461694</v>
      </c>
      <c r="H14" s="1">
        <f t="shared" si="2"/>
        <v>-0.14849455718191076</v>
      </c>
    </row>
    <row r="15" spans="1:8" x14ac:dyDescent="0.25">
      <c r="A15" t="s">
        <v>484</v>
      </c>
      <c r="B15" s="5">
        <f>SUMIFS('Sales Data'!$J:$J,'Sales Data'!$B:$B,"&gt;=2024-12-01",'Sales Data'!$B:$B,"&lt;2025-01-01")</f>
        <v>60013.799999999988</v>
      </c>
      <c r="C15" s="5">
        <f>SUMIFS('Sales Data'!$L:$L,'Sales Data'!$B:$B,"&gt;=2024-12-01",'Sales Data'!$B:$B,"&lt;2025-01-01")</f>
        <v>40166.499999999993</v>
      </c>
      <c r="D15">
        <f>COUNTIFS('Sales Data'!$B:$B,"&gt;=2024-12-01",'Sales Data'!$B:$B,"&lt;2025-01-01")</f>
        <v>25</v>
      </c>
      <c r="E15" s="12">
        <f>SUMIFS('Sales Data'!$H:$H,'Sales Data'!$B:$B,"&gt;=2024-12-01",'Sales Data'!$B:$B,"&lt;2025-01-01")</f>
        <v>28420</v>
      </c>
      <c r="F15" s="5">
        <f t="shared" si="0"/>
        <v>2400.5519999999997</v>
      </c>
      <c r="G15" s="1">
        <f t="shared" si="1"/>
        <v>0.66928773048865431</v>
      </c>
      <c r="H15" s="1">
        <f t="shared" si="2"/>
        <v>0.65669565217391268</v>
      </c>
    </row>
    <row r="16" spans="1:8" x14ac:dyDescent="0.25">
      <c r="A16" s="18" t="s">
        <v>497</v>
      </c>
      <c r="B16" s="19">
        <f>SUM(B4:B15)</f>
        <v>465360.6</v>
      </c>
      <c r="C16" s="19">
        <f>SUM(C4:C15)</f>
        <v>310342.60000000003</v>
      </c>
      <c r="D16" s="18">
        <f>SUM(D4:D15)</f>
        <v>263</v>
      </c>
      <c r="E16" s="21">
        <f>SUM(E4:E15)</f>
        <v>224140</v>
      </c>
      <c r="F16" s="19">
        <f>AVERAGE(F4:F15)</f>
        <v>1763.4878290043289</v>
      </c>
      <c r="G16" s="22">
        <f>C16/B16</f>
        <v>0.66688628130529326</v>
      </c>
      <c r="H16" s="22">
        <f>AVERAGE(H5:H15)</f>
        <v>7.3058438507722326E-2</v>
      </c>
    </row>
    <row r="18" spans="1:8" x14ac:dyDescent="0.25">
      <c r="A18" s="30" t="s">
        <v>498</v>
      </c>
      <c r="B18" s="28"/>
      <c r="C18" s="28"/>
      <c r="D18" s="28"/>
      <c r="E18" s="28"/>
      <c r="F18" s="28"/>
      <c r="G18" s="28"/>
      <c r="H18" s="28"/>
    </row>
    <row r="19" spans="1:8" x14ac:dyDescent="0.25">
      <c r="A19" s="23" t="s">
        <v>499</v>
      </c>
      <c r="B19" s="23" t="s">
        <v>405</v>
      </c>
      <c r="C19" s="23" t="s">
        <v>495</v>
      </c>
      <c r="D19" s="23" t="s">
        <v>406</v>
      </c>
      <c r="E19" s="23" t="s">
        <v>402</v>
      </c>
      <c r="F19" s="23" t="s">
        <v>500</v>
      </c>
    </row>
    <row r="20" spans="1:8" x14ac:dyDescent="0.25">
      <c r="A20" s="24" t="s">
        <v>501</v>
      </c>
      <c r="B20" s="25">
        <f>SUM(B4:B6)</f>
        <v>98341.700000000012</v>
      </c>
      <c r="C20" s="25">
        <f>SUM(C4:C6)</f>
        <v>65497.600000000006</v>
      </c>
      <c r="D20" s="24">
        <f>SUM(D4:D6)</f>
        <v>66</v>
      </c>
      <c r="E20" s="26">
        <f>IF(B20=0,0,C20/B20)</f>
        <v>0.66602061994047279</v>
      </c>
      <c r="F20" s="24" t="s">
        <v>505</v>
      </c>
    </row>
    <row r="21" spans="1:8" x14ac:dyDescent="0.25">
      <c r="A21" s="24" t="s">
        <v>502</v>
      </c>
      <c r="B21" s="25">
        <f>SUM(B7:B9)</f>
        <v>112786.40000000001</v>
      </c>
      <c r="C21" s="25">
        <f>SUM(C7:C9)</f>
        <v>75257.5</v>
      </c>
      <c r="D21" s="24">
        <f>SUM(D7:D9)</f>
        <v>65</v>
      </c>
      <c r="E21" s="26">
        <f>IF(B21=0,0,C21/B21)</f>
        <v>0.66725686784931515</v>
      </c>
      <c r="F21" s="26">
        <f>IF(B20=0,0,(B21-B20)/B20)</f>
        <v>0.14688275675527265</v>
      </c>
    </row>
    <row r="22" spans="1:8" x14ac:dyDescent="0.25">
      <c r="A22" s="24" t="s">
        <v>503</v>
      </c>
      <c r="B22" s="25">
        <f>SUM(B10:B12)</f>
        <v>115451.4</v>
      </c>
      <c r="C22" s="25">
        <f>SUM(C10:C12)</f>
        <v>76971.699999999983</v>
      </c>
      <c r="D22" s="24">
        <f>SUM(D10:D12)</f>
        <v>63</v>
      </c>
      <c r="E22" s="26">
        <f>IF(B22=0,0,C22/B22)</f>
        <v>0.66670217944520371</v>
      </c>
      <c r="F22" s="26">
        <f>IF(B21=0,0,(B22-B21)/B21)</f>
        <v>2.3628735379442781E-2</v>
      </c>
    </row>
    <row r="23" spans="1:8" x14ac:dyDescent="0.25">
      <c r="A23" s="24" t="s">
        <v>504</v>
      </c>
      <c r="B23" s="25">
        <f>SUM(B13:B15)</f>
        <v>138781.09999999998</v>
      </c>
      <c r="C23" s="25">
        <f>SUM(C13:C15)</f>
        <v>92615.799999999988</v>
      </c>
      <c r="D23" s="24">
        <f>SUM(D13:D15)</f>
        <v>69</v>
      </c>
      <c r="E23" s="26">
        <f>IF(B23=0,0,C23/B23)</f>
        <v>0.66735167829048769</v>
      </c>
      <c r="F23" s="26">
        <f>IF(B22=0,0,(B23-B22)/B22)</f>
        <v>0.20207377303350141</v>
      </c>
    </row>
    <row r="25" spans="1:8" x14ac:dyDescent="0.25">
      <c r="A25" s="30" t="s">
        <v>506</v>
      </c>
      <c r="B25" s="28"/>
      <c r="C25" s="28"/>
      <c r="D25" s="28"/>
      <c r="E25" s="28"/>
      <c r="F25" s="28"/>
      <c r="G25" s="28"/>
    </row>
    <row r="26" spans="1:8" x14ac:dyDescent="0.25">
      <c r="A26" s="18" t="s">
        <v>2</v>
      </c>
      <c r="B26" s="18" t="s">
        <v>405</v>
      </c>
      <c r="C26" s="18" t="s">
        <v>495</v>
      </c>
      <c r="D26" s="18" t="s">
        <v>408</v>
      </c>
      <c r="E26" s="18" t="s">
        <v>507</v>
      </c>
      <c r="F26" s="18" t="s">
        <v>402</v>
      </c>
      <c r="G26" s="18" t="s">
        <v>508</v>
      </c>
    </row>
    <row r="27" spans="1:8" x14ac:dyDescent="0.25">
      <c r="A27" t="s">
        <v>10</v>
      </c>
      <c r="B27" s="5">
        <f>SUMIF('Sales Data'!G:G,"Water",'Sales Data'!J:J)</f>
        <v>69851.599999999991</v>
      </c>
      <c r="C27" s="5">
        <f>SUMIF('Sales Data'!G:G,"Water",'Sales Data'!L:L)</f>
        <v>45047.299999999996</v>
      </c>
      <c r="D27" s="12">
        <f>SUMIF('Sales Data'!G:G,"Water",'Sales Data'!H:H)</f>
        <v>41940</v>
      </c>
      <c r="E27" s="3">
        <f t="shared" ref="E27:E34" si="3">IF(D27=0,0,B27/D27)</f>
        <v>1.6655126371006197</v>
      </c>
      <c r="F27" s="1">
        <f t="shared" ref="F27:F34" si="4">IF(B27=0,0,C27/B27)</f>
        <v>0.64490004523876332</v>
      </c>
      <c r="G27" s="1">
        <f>IF(SUM(B27:B33)=0,0,B27/SUM(B27:B33))</f>
        <v>0.15010209287163545</v>
      </c>
    </row>
    <row r="28" spans="1:8" x14ac:dyDescent="0.25">
      <c r="A28" t="s">
        <v>16</v>
      </c>
      <c r="B28" s="5">
        <f>SUMIF('Sales Data'!G:G,"Sparkling",'Sales Data'!J:J)</f>
        <v>31510.5</v>
      </c>
      <c r="C28" s="5">
        <f>SUMIF('Sales Data'!G:G,"Sparkling",'Sales Data'!L:L)</f>
        <v>20419.000000000004</v>
      </c>
      <c r="D28" s="12">
        <f>SUMIF('Sales Data'!G:G,"Sparkling",'Sales Data'!H:H)</f>
        <v>16450</v>
      </c>
      <c r="E28" s="3">
        <f t="shared" si="3"/>
        <v>1.915531914893617</v>
      </c>
      <c r="F28" s="1">
        <f t="shared" si="4"/>
        <v>0.64800622014883935</v>
      </c>
      <c r="G28" s="1">
        <f t="shared" ref="G28:G33" si="5">IF(SUM($B$27:$B$33)=0,0,B28/SUM($B$27:$B$33))</f>
        <v>6.7712006560074062E-2</v>
      </c>
    </row>
    <row r="29" spans="1:8" x14ac:dyDescent="0.25">
      <c r="A29" t="s">
        <v>20</v>
      </c>
      <c r="B29" s="5">
        <f>SUMIF('Sales Data'!G:G,"Soft Drinks",'Sales Data'!J:J)</f>
        <v>150954.60000000003</v>
      </c>
      <c r="C29" s="5">
        <f>SUMIF('Sales Data'!G:G,"Soft Drinks",'Sales Data'!L:L)</f>
        <v>101880.60000000003</v>
      </c>
      <c r="D29" s="12">
        <f>SUMIF('Sales Data'!G:G,"Soft Drinks",'Sales Data'!H:H)</f>
        <v>89640</v>
      </c>
      <c r="E29" s="3">
        <f t="shared" si="3"/>
        <v>1.6840093708166002</v>
      </c>
      <c r="F29" s="1">
        <f t="shared" si="4"/>
        <v>0.67490887988839032</v>
      </c>
      <c r="G29" s="1">
        <f t="shared" si="5"/>
        <v>0.32438199538164608</v>
      </c>
    </row>
    <row r="30" spans="1:8" x14ac:dyDescent="0.25">
      <c r="A30" t="s">
        <v>31</v>
      </c>
      <c r="B30" s="5">
        <f>SUMIF('Sales Data'!G:G,"Energy Drinks",'Sales Data'!J:J)</f>
        <v>75958.399999999994</v>
      </c>
      <c r="C30" s="5">
        <f>SUMIF('Sales Data'!G:G,"Energy Drinks",'Sales Data'!L:L)</f>
        <v>51705.4</v>
      </c>
      <c r="D30" s="12">
        <f>SUMIF('Sales Data'!G:G,"Energy Drinks",'Sales Data'!H:H)</f>
        <v>22160</v>
      </c>
      <c r="E30" s="3">
        <f t="shared" si="3"/>
        <v>3.4277256317689528</v>
      </c>
      <c r="F30" s="1">
        <f t="shared" si="4"/>
        <v>0.68070680793697613</v>
      </c>
      <c r="G30" s="1">
        <f t="shared" si="5"/>
        <v>0.1632248196344942</v>
      </c>
    </row>
    <row r="31" spans="1:8" x14ac:dyDescent="0.25">
      <c r="A31" t="s">
        <v>35</v>
      </c>
      <c r="B31" s="5">
        <f>SUMIF('Sales Data'!G:G,"Sports Drinks",'Sales Data'!J:J)</f>
        <v>100568.90000000001</v>
      </c>
      <c r="C31" s="5">
        <f>SUMIF('Sales Data'!G:G,"Sports Drinks",'Sales Data'!L:L)</f>
        <v>67440</v>
      </c>
      <c r="D31" s="12">
        <f>SUMIF('Sales Data'!G:G,"Sports Drinks",'Sales Data'!H:H)</f>
        <v>34610</v>
      </c>
      <c r="E31" s="3">
        <f t="shared" si="3"/>
        <v>2.9057757873446981</v>
      </c>
      <c r="F31" s="1">
        <f t="shared" si="4"/>
        <v>0.67058504169778121</v>
      </c>
      <c r="G31" s="1">
        <f t="shared" si="5"/>
        <v>0.21610961478045201</v>
      </c>
    </row>
    <row r="32" spans="1:8" x14ac:dyDescent="0.25">
      <c r="A32" t="s">
        <v>39</v>
      </c>
      <c r="B32" s="5">
        <f>SUMIF('Sales Data'!G:G,"Tea",'Sales Data'!J:J)</f>
        <v>17631.5</v>
      </c>
      <c r="C32" s="5">
        <f>SUMIF('Sales Data'!G:G,"Tea",'Sales Data'!L:L)</f>
        <v>11883.8</v>
      </c>
      <c r="D32" s="12">
        <f>SUMIF('Sales Data'!G:G,"Tea",'Sales Data'!H:H)</f>
        <v>9850</v>
      </c>
      <c r="E32" s="3">
        <f t="shared" si="3"/>
        <v>1.79</v>
      </c>
      <c r="F32" s="1">
        <f t="shared" si="4"/>
        <v>0.67400958511754527</v>
      </c>
      <c r="G32" s="1">
        <f t="shared" si="5"/>
        <v>3.788782290550597E-2</v>
      </c>
    </row>
    <row r="33" spans="1:7" x14ac:dyDescent="0.25">
      <c r="A33" t="s">
        <v>44</v>
      </c>
      <c r="B33" s="5">
        <f>SUMIF('Sales Data'!G:G,"Juices",'Sales Data'!J:J)</f>
        <v>18885.099999999999</v>
      </c>
      <c r="C33" s="5">
        <f>SUMIF('Sales Data'!G:G,"Juices",'Sales Data'!L:L)</f>
        <v>11966.499999999998</v>
      </c>
      <c r="D33" s="12">
        <f>SUMIF('Sales Data'!G:G,"Juices",'Sales Data'!H:H)</f>
        <v>9490</v>
      </c>
      <c r="E33" s="3">
        <f t="shared" si="3"/>
        <v>1.9899999999999998</v>
      </c>
      <c r="F33" s="1">
        <f t="shared" si="4"/>
        <v>0.63364769050733116</v>
      </c>
      <c r="G33" s="1">
        <f t="shared" si="5"/>
        <v>4.0581647866192366E-2</v>
      </c>
    </row>
    <row r="34" spans="1:7" x14ac:dyDescent="0.25">
      <c r="A34" s="18" t="s">
        <v>407</v>
      </c>
      <c r="B34" s="19">
        <f>SUM(B27:B33)</f>
        <v>465360.6</v>
      </c>
      <c r="C34" s="19">
        <f>SUM(C27:C33)</f>
        <v>310342.60000000003</v>
      </c>
      <c r="D34" s="21">
        <f>SUM(D27:D33)</f>
        <v>224140</v>
      </c>
      <c r="E34" s="27">
        <f t="shared" si="3"/>
        <v>2.0762050504149192</v>
      </c>
      <c r="F34" s="22">
        <f t="shared" si="4"/>
        <v>0.66688628130529326</v>
      </c>
      <c r="G34" s="20">
        <v>1</v>
      </c>
    </row>
  </sheetData>
  <mergeCells count="3">
    <mergeCell ref="A1:H1"/>
    <mergeCell ref="A18:H18"/>
    <mergeCell ref="A25:G25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5AA2F-A0F2-442E-908A-827E1521C630}">
  <dimension ref="A1:O264"/>
  <sheetViews>
    <sheetView topLeftCell="A37" workbookViewId="0">
      <selection sqref="A1:H1"/>
    </sheetView>
  </sheetViews>
  <sheetFormatPr defaultRowHeight="15" x14ac:dyDescent="0.25"/>
  <cols>
    <col min="1" max="1" width="10.7109375" customWidth="1"/>
    <col min="2" max="2" width="13" customWidth="1"/>
    <col min="3" max="3" width="14.5703125" customWidth="1"/>
    <col min="4" max="4" width="24.28515625" bestFit="1" customWidth="1"/>
    <col min="5" max="5" width="12.5703125" customWidth="1"/>
    <col min="6" max="6" width="19.7109375" bestFit="1" customWidth="1"/>
    <col min="7" max="7" width="12.85546875" bestFit="1" customWidth="1"/>
    <col min="8" max="8" width="10.85546875" customWidth="1"/>
    <col min="9" max="9" width="14.7109375" customWidth="1"/>
    <col min="10" max="10" width="18.85546875" customWidth="1"/>
    <col min="11" max="11" width="10.28515625" customWidth="1"/>
    <col min="12" max="12" width="11" customWidth="1"/>
    <col min="13" max="13" width="14.140625" bestFit="1" customWidth="1"/>
    <col min="14" max="14" width="9.42578125" customWidth="1"/>
    <col min="15" max="15" width="17.140625" customWidth="1"/>
  </cols>
  <sheetData>
    <row r="1" spans="1:15" x14ac:dyDescent="0.25">
      <c r="A1" s="8" t="s">
        <v>195</v>
      </c>
      <c r="B1" s="8" t="s">
        <v>196</v>
      </c>
      <c r="C1" s="8" t="s">
        <v>47</v>
      </c>
      <c r="D1" s="8" t="s">
        <v>197</v>
      </c>
      <c r="E1" s="8" t="s">
        <v>0</v>
      </c>
      <c r="F1" s="8" t="s">
        <v>1</v>
      </c>
      <c r="G1" s="8" t="s">
        <v>2</v>
      </c>
      <c r="H1" s="8" t="s">
        <v>198</v>
      </c>
      <c r="I1" s="8" t="s">
        <v>4</v>
      </c>
      <c r="J1" s="8" t="s">
        <v>199</v>
      </c>
      <c r="K1" s="8" t="s">
        <v>5</v>
      </c>
      <c r="L1" s="8" t="s">
        <v>200</v>
      </c>
      <c r="M1" s="8" t="s">
        <v>201</v>
      </c>
      <c r="N1" s="8" t="s">
        <v>50</v>
      </c>
      <c r="O1" s="8" t="s">
        <v>202</v>
      </c>
    </row>
    <row r="2" spans="1:15" x14ac:dyDescent="0.25">
      <c r="A2" t="s">
        <v>203</v>
      </c>
      <c r="B2" s="9">
        <v>45296</v>
      </c>
      <c r="C2" t="s">
        <v>57</v>
      </c>
      <c r="D2" t="s">
        <v>58</v>
      </c>
      <c r="E2" t="s">
        <v>8</v>
      </c>
      <c r="F2" t="s">
        <v>9</v>
      </c>
      <c r="G2" t="s">
        <v>10</v>
      </c>
      <c r="H2">
        <v>500</v>
      </c>
      <c r="I2" s="3">
        <v>1.29</v>
      </c>
      <c r="J2" s="3">
        <f t="shared" ref="J2:J33" si="0">H2*I2</f>
        <v>645</v>
      </c>
      <c r="K2" s="3">
        <f>H2*VLOOKUP(E2,'Product Catalog'!A:F,6,FALSE)</f>
        <v>225</v>
      </c>
      <c r="L2" s="3">
        <f t="shared" ref="L2:L33" si="1">J2-K2</f>
        <v>420</v>
      </c>
      <c r="M2" t="s">
        <v>64</v>
      </c>
      <c r="N2" t="s">
        <v>60</v>
      </c>
      <c r="O2" t="s">
        <v>204</v>
      </c>
    </row>
    <row r="3" spans="1:15" x14ac:dyDescent="0.25">
      <c r="A3" t="s">
        <v>205</v>
      </c>
      <c r="B3" s="9">
        <v>45299</v>
      </c>
      <c r="C3" t="s">
        <v>71</v>
      </c>
      <c r="D3" t="s">
        <v>72</v>
      </c>
      <c r="E3" t="s">
        <v>18</v>
      </c>
      <c r="F3" t="s">
        <v>19</v>
      </c>
      <c r="G3" t="s">
        <v>20</v>
      </c>
      <c r="H3">
        <v>800</v>
      </c>
      <c r="I3" s="3">
        <v>1.19</v>
      </c>
      <c r="J3" s="3">
        <f t="shared" si="0"/>
        <v>952</v>
      </c>
      <c r="K3" s="3">
        <f>H3*VLOOKUP(E3,'Product Catalog'!A:F,6,FALSE)</f>
        <v>304</v>
      </c>
      <c r="L3" s="3">
        <f t="shared" si="1"/>
        <v>648</v>
      </c>
      <c r="M3" t="s">
        <v>76</v>
      </c>
      <c r="N3" t="s">
        <v>74</v>
      </c>
      <c r="O3" t="s">
        <v>204</v>
      </c>
    </row>
    <row r="4" spans="1:15" x14ac:dyDescent="0.25">
      <c r="A4" t="s">
        <v>206</v>
      </c>
      <c r="B4" s="9">
        <v>45301</v>
      </c>
      <c r="C4" t="s">
        <v>84</v>
      </c>
      <c r="D4" t="s">
        <v>85</v>
      </c>
      <c r="E4" t="s">
        <v>33</v>
      </c>
      <c r="F4" t="s">
        <v>34</v>
      </c>
      <c r="G4" t="s">
        <v>35</v>
      </c>
      <c r="H4">
        <v>1200</v>
      </c>
      <c r="I4" s="3">
        <v>2.4900000000000002</v>
      </c>
      <c r="J4" s="3">
        <f t="shared" si="0"/>
        <v>2988.0000000000005</v>
      </c>
      <c r="K4" s="3">
        <f>H4*VLOOKUP(E4,'Product Catalog'!A:F,6,FALSE)</f>
        <v>983.99999999999989</v>
      </c>
      <c r="L4" s="3">
        <f t="shared" si="1"/>
        <v>2004.0000000000005</v>
      </c>
      <c r="M4" t="s">
        <v>90</v>
      </c>
      <c r="N4" t="s">
        <v>87</v>
      </c>
      <c r="O4" t="s">
        <v>204</v>
      </c>
    </row>
    <row r="5" spans="1:15" x14ac:dyDescent="0.25">
      <c r="A5" t="s">
        <v>207</v>
      </c>
      <c r="B5" s="9">
        <v>45303</v>
      </c>
      <c r="C5" t="s">
        <v>96</v>
      </c>
      <c r="D5" t="s">
        <v>97</v>
      </c>
      <c r="E5" t="s">
        <v>12</v>
      </c>
      <c r="F5" t="s">
        <v>9</v>
      </c>
      <c r="G5" t="s">
        <v>10</v>
      </c>
      <c r="H5">
        <v>600</v>
      </c>
      <c r="I5" s="3">
        <v>1.99</v>
      </c>
      <c r="J5" s="3">
        <f t="shared" si="0"/>
        <v>1194</v>
      </c>
      <c r="K5" s="3">
        <f>H5*VLOOKUP(E5,'Product Catalog'!A:F,6,FALSE)</f>
        <v>432</v>
      </c>
      <c r="L5" s="3">
        <f t="shared" si="1"/>
        <v>762</v>
      </c>
      <c r="M5" t="s">
        <v>83</v>
      </c>
      <c r="N5" t="s">
        <v>80</v>
      </c>
      <c r="O5" t="s">
        <v>204</v>
      </c>
    </row>
    <row r="6" spans="1:15" x14ac:dyDescent="0.25">
      <c r="A6" t="s">
        <v>208</v>
      </c>
      <c r="B6" s="9">
        <v>45306</v>
      </c>
      <c r="C6" t="s">
        <v>65</v>
      </c>
      <c r="D6" t="s">
        <v>66</v>
      </c>
      <c r="E6" t="s">
        <v>29</v>
      </c>
      <c r="F6" t="s">
        <v>30</v>
      </c>
      <c r="G6" t="s">
        <v>31</v>
      </c>
      <c r="H6">
        <v>300</v>
      </c>
      <c r="I6" s="3">
        <v>2.99</v>
      </c>
      <c r="J6" s="3">
        <f t="shared" si="0"/>
        <v>897.00000000000011</v>
      </c>
      <c r="K6" s="3">
        <f>H6*VLOOKUP(E6,'Product Catalog'!A:F,6,FALSE)</f>
        <v>285</v>
      </c>
      <c r="L6" s="3">
        <f t="shared" si="1"/>
        <v>612.00000000000011</v>
      </c>
      <c r="M6" t="s">
        <v>64</v>
      </c>
      <c r="N6" t="s">
        <v>60</v>
      </c>
      <c r="O6" t="s">
        <v>204</v>
      </c>
    </row>
    <row r="7" spans="1:15" x14ac:dyDescent="0.25">
      <c r="A7" t="s">
        <v>209</v>
      </c>
      <c r="B7" s="9">
        <v>45309</v>
      </c>
      <c r="C7" t="s">
        <v>110</v>
      </c>
      <c r="D7" t="s">
        <v>111</v>
      </c>
      <c r="E7" t="s">
        <v>14</v>
      </c>
      <c r="F7" t="s">
        <v>15</v>
      </c>
      <c r="G7" t="s">
        <v>16</v>
      </c>
      <c r="H7">
        <v>900</v>
      </c>
      <c r="I7" s="3">
        <v>1.49</v>
      </c>
      <c r="J7" s="3">
        <f t="shared" si="0"/>
        <v>1341</v>
      </c>
      <c r="K7" s="3">
        <f>H7*VLOOKUP(E7,'Product Catalog'!A:F,6,FALSE)</f>
        <v>468</v>
      </c>
      <c r="L7" s="3">
        <f t="shared" si="1"/>
        <v>873</v>
      </c>
      <c r="M7" t="s">
        <v>76</v>
      </c>
      <c r="N7" t="s">
        <v>74</v>
      </c>
      <c r="O7" t="s">
        <v>204</v>
      </c>
    </row>
    <row r="8" spans="1:15" x14ac:dyDescent="0.25">
      <c r="A8" t="s">
        <v>210</v>
      </c>
      <c r="B8" s="9">
        <v>45311</v>
      </c>
      <c r="C8" t="s">
        <v>120</v>
      </c>
      <c r="D8" t="s">
        <v>121</v>
      </c>
      <c r="E8" t="s">
        <v>22</v>
      </c>
      <c r="F8" t="s">
        <v>19</v>
      </c>
      <c r="G8" t="s">
        <v>20</v>
      </c>
      <c r="H8">
        <v>1500</v>
      </c>
      <c r="I8" s="3">
        <v>2.79</v>
      </c>
      <c r="J8" s="3">
        <f t="shared" si="0"/>
        <v>4185</v>
      </c>
      <c r="K8" s="3">
        <f>H8*VLOOKUP(E8,'Product Catalog'!A:F,6,FALSE)</f>
        <v>1380</v>
      </c>
      <c r="L8" s="3">
        <f t="shared" si="1"/>
        <v>2805</v>
      </c>
      <c r="M8" t="s">
        <v>90</v>
      </c>
      <c r="N8" t="s">
        <v>87</v>
      </c>
      <c r="O8" t="s">
        <v>204</v>
      </c>
    </row>
    <row r="9" spans="1:15" x14ac:dyDescent="0.25">
      <c r="A9" t="s">
        <v>211</v>
      </c>
      <c r="B9" s="9">
        <v>45313</v>
      </c>
      <c r="C9" t="s">
        <v>134</v>
      </c>
      <c r="D9" t="s">
        <v>135</v>
      </c>
      <c r="E9" t="s">
        <v>32</v>
      </c>
      <c r="F9" t="s">
        <v>30</v>
      </c>
      <c r="G9" t="s">
        <v>31</v>
      </c>
      <c r="H9">
        <v>450</v>
      </c>
      <c r="I9" s="3">
        <v>3.99</v>
      </c>
      <c r="J9" s="3">
        <f t="shared" si="0"/>
        <v>1795.5</v>
      </c>
      <c r="K9" s="3">
        <f>H9*VLOOKUP(E9,'Product Catalog'!A:F,6,FALSE)</f>
        <v>576</v>
      </c>
      <c r="L9" s="3">
        <f t="shared" si="1"/>
        <v>1219.5</v>
      </c>
      <c r="M9" t="s">
        <v>83</v>
      </c>
      <c r="N9" t="s">
        <v>80</v>
      </c>
      <c r="O9" t="s">
        <v>204</v>
      </c>
    </row>
    <row r="10" spans="1:15" x14ac:dyDescent="0.25">
      <c r="A10" t="s">
        <v>212</v>
      </c>
      <c r="B10" s="9">
        <v>45316</v>
      </c>
      <c r="C10" t="s">
        <v>143</v>
      </c>
      <c r="D10" t="s">
        <v>144</v>
      </c>
      <c r="E10" t="s">
        <v>21</v>
      </c>
      <c r="F10" t="s">
        <v>19</v>
      </c>
      <c r="G10" t="s">
        <v>20</v>
      </c>
      <c r="H10">
        <v>2000</v>
      </c>
      <c r="I10" s="3">
        <v>1.49</v>
      </c>
      <c r="J10" s="3">
        <f t="shared" si="0"/>
        <v>2980</v>
      </c>
      <c r="K10" s="3">
        <f>H10*VLOOKUP(E10,'Product Catalog'!A:F,6,FALSE)</f>
        <v>960</v>
      </c>
      <c r="L10" s="3">
        <f t="shared" si="1"/>
        <v>2020</v>
      </c>
      <c r="M10" t="s">
        <v>64</v>
      </c>
      <c r="N10" t="s">
        <v>60</v>
      </c>
      <c r="O10" t="s">
        <v>204</v>
      </c>
    </row>
    <row r="11" spans="1:15" x14ac:dyDescent="0.25">
      <c r="A11" t="s">
        <v>213</v>
      </c>
      <c r="B11" s="9">
        <v>45319</v>
      </c>
      <c r="C11" t="s">
        <v>147</v>
      </c>
      <c r="D11" t="s">
        <v>148</v>
      </c>
      <c r="E11" t="s">
        <v>23</v>
      </c>
      <c r="F11" t="s">
        <v>24</v>
      </c>
      <c r="G11" t="s">
        <v>20</v>
      </c>
      <c r="H11">
        <v>1800</v>
      </c>
      <c r="I11" s="3">
        <v>1.19</v>
      </c>
      <c r="J11" s="3">
        <f t="shared" si="0"/>
        <v>2142</v>
      </c>
      <c r="K11" s="3">
        <f>H11*VLOOKUP(E11,'Product Catalog'!A:F,6,FALSE)</f>
        <v>702</v>
      </c>
      <c r="L11" s="3">
        <f t="shared" si="1"/>
        <v>1440</v>
      </c>
      <c r="M11" t="s">
        <v>76</v>
      </c>
      <c r="N11" t="s">
        <v>74</v>
      </c>
      <c r="O11" t="s">
        <v>204</v>
      </c>
    </row>
    <row r="12" spans="1:15" x14ac:dyDescent="0.25">
      <c r="A12" t="s">
        <v>214</v>
      </c>
      <c r="B12" s="9">
        <v>45324</v>
      </c>
      <c r="C12" t="s">
        <v>77</v>
      </c>
      <c r="D12" t="s">
        <v>78</v>
      </c>
      <c r="E12" t="s">
        <v>37</v>
      </c>
      <c r="F12" t="s">
        <v>38</v>
      </c>
      <c r="G12" t="s">
        <v>39</v>
      </c>
      <c r="H12">
        <v>400</v>
      </c>
      <c r="I12" s="3">
        <v>1.79</v>
      </c>
      <c r="J12" s="3">
        <f t="shared" si="0"/>
        <v>716</v>
      </c>
      <c r="K12" s="3">
        <f>H12*VLOOKUP(E12,'Product Catalog'!A:F,6,FALSE)</f>
        <v>231.99999999999997</v>
      </c>
      <c r="L12" s="3">
        <f t="shared" si="1"/>
        <v>484</v>
      </c>
      <c r="M12" t="s">
        <v>83</v>
      </c>
      <c r="N12" t="s">
        <v>80</v>
      </c>
      <c r="O12" t="s">
        <v>204</v>
      </c>
    </row>
    <row r="13" spans="1:15" x14ac:dyDescent="0.25">
      <c r="A13" t="s">
        <v>215</v>
      </c>
      <c r="B13" s="9">
        <v>45327</v>
      </c>
      <c r="C13" t="s">
        <v>91</v>
      </c>
      <c r="D13" t="s">
        <v>92</v>
      </c>
      <c r="E13" t="s">
        <v>33</v>
      </c>
      <c r="F13" t="s">
        <v>34</v>
      </c>
      <c r="G13" t="s">
        <v>35</v>
      </c>
      <c r="H13">
        <v>750</v>
      </c>
      <c r="I13" s="3">
        <v>2.4900000000000002</v>
      </c>
      <c r="J13" s="3">
        <f t="shared" si="0"/>
        <v>1867.5000000000002</v>
      </c>
      <c r="K13" s="3">
        <f>H13*VLOOKUP(E13,'Product Catalog'!A:F,6,FALSE)</f>
        <v>615</v>
      </c>
      <c r="L13" s="3">
        <f t="shared" si="1"/>
        <v>1252.5000000000002</v>
      </c>
      <c r="M13" t="s">
        <v>90</v>
      </c>
      <c r="N13" t="s">
        <v>87</v>
      </c>
      <c r="O13" t="s">
        <v>204</v>
      </c>
    </row>
    <row r="14" spans="1:15" x14ac:dyDescent="0.25">
      <c r="A14" t="s">
        <v>216</v>
      </c>
      <c r="B14" s="9">
        <v>45330</v>
      </c>
      <c r="C14" t="s">
        <v>106</v>
      </c>
      <c r="D14" t="s">
        <v>107</v>
      </c>
      <c r="E14" t="s">
        <v>8</v>
      </c>
      <c r="F14" t="s">
        <v>9</v>
      </c>
      <c r="G14" t="s">
        <v>10</v>
      </c>
      <c r="H14">
        <v>350</v>
      </c>
      <c r="I14" s="3">
        <v>1.29</v>
      </c>
      <c r="J14" s="3">
        <f t="shared" si="0"/>
        <v>451.5</v>
      </c>
      <c r="K14" s="3">
        <f>H14*VLOOKUP(E14,'Product Catalog'!A:F,6,FALSE)</f>
        <v>157.5</v>
      </c>
      <c r="L14" s="3">
        <f t="shared" si="1"/>
        <v>294</v>
      </c>
      <c r="M14" t="s">
        <v>64</v>
      </c>
      <c r="N14" t="s">
        <v>60</v>
      </c>
      <c r="O14" t="s">
        <v>204</v>
      </c>
    </row>
    <row r="15" spans="1:15" x14ac:dyDescent="0.25">
      <c r="A15" t="s">
        <v>217</v>
      </c>
      <c r="B15" s="9">
        <v>45332</v>
      </c>
      <c r="C15" t="s">
        <v>129</v>
      </c>
      <c r="D15" t="s">
        <v>130</v>
      </c>
      <c r="E15" t="s">
        <v>42</v>
      </c>
      <c r="F15" t="s">
        <v>43</v>
      </c>
      <c r="G15" t="s">
        <v>44</v>
      </c>
      <c r="H15">
        <v>600</v>
      </c>
      <c r="I15" s="3">
        <v>1.99</v>
      </c>
      <c r="J15" s="3">
        <f t="shared" si="0"/>
        <v>1194</v>
      </c>
      <c r="K15" s="3">
        <f>H15*VLOOKUP(E15,'Product Catalog'!A:F,6,FALSE)</f>
        <v>432</v>
      </c>
      <c r="L15" s="3">
        <f t="shared" si="1"/>
        <v>762</v>
      </c>
      <c r="M15" t="s">
        <v>76</v>
      </c>
      <c r="N15" t="s">
        <v>74</v>
      </c>
      <c r="O15" t="s">
        <v>204</v>
      </c>
    </row>
    <row r="16" spans="1:15" x14ac:dyDescent="0.25">
      <c r="A16" t="s">
        <v>218</v>
      </c>
      <c r="B16" s="9">
        <v>45334</v>
      </c>
      <c r="C16" t="s">
        <v>115</v>
      </c>
      <c r="D16" t="s">
        <v>116</v>
      </c>
      <c r="E16" t="s">
        <v>40</v>
      </c>
      <c r="F16" t="s">
        <v>41</v>
      </c>
      <c r="G16" t="s">
        <v>39</v>
      </c>
      <c r="H16">
        <v>280</v>
      </c>
      <c r="I16" s="3">
        <v>1.79</v>
      </c>
      <c r="J16" s="3">
        <f t="shared" si="0"/>
        <v>501.2</v>
      </c>
      <c r="K16" s="3">
        <f>H16*VLOOKUP(E16,'Product Catalog'!A:F,6,FALSE)</f>
        <v>165.2</v>
      </c>
      <c r="L16" s="3">
        <f t="shared" si="1"/>
        <v>336</v>
      </c>
      <c r="M16" t="s">
        <v>83</v>
      </c>
      <c r="N16" t="s">
        <v>80</v>
      </c>
      <c r="O16" t="s">
        <v>204</v>
      </c>
    </row>
    <row r="17" spans="1:15" x14ac:dyDescent="0.25">
      <c r="A17" t="s">
        <v>219</v>
      </c>
      <c r="B17" s="9">
        <v>45337</v>
      </c>
      <c r="C17" t="s">
        <v>139</v>
      </c>
      <c r="D17" t="s">
        <v>140</v>
      </c>
      <c r="E17" t="s">
        <v>29</v>
      </c>
      <c r="F17" t="s">
        <v>30</v>
      </c>
      <c r="G17" t="s">
        <v>31</v>
      </c>
      <c r="H17">
        <v>500</v>
      </c>
      <c r="I17" s="3">
        <v>2.99</v>
      </c>
      <c r="J17" s="3">
        <f t="shared" si="0"/>
        <v>1495</v>
      </c>
      <c r="K17" s="3">
        <f>H17*VLOOKUP(E17,'Product Catalog'!A:F,6,FALSE)</f>
        <v>475</v>
      </c>
      <c r="L17" s="3">
        <f t="shared" si="1"/>
        <v>1020</v>
      </c>
      <c r="M17" t="s">
        <v>90</v>
      </c>
      <c r="N17" t="s">
        <v>87</v>
      </c>
      <c r="O17" t="s">
        <v>204</v>
      </c>
    </row>
    <row r="18" spans="1:15" x14ac:dyDescent="0.25">
      <c r="A18" t="s">
        <v>220</v>
      </c>
      <c r="B18" s="9">
        <v>45340</v>
      </c>
      <c r="C18" t="s">
        <v>155</v>
      </c>
      <c r="D18" t="s">
        <v>156</v>
      </c>
      <c r="E18" t="s">
        <v>17</v>
      </c>
      <c r="F18" t="s">
        <v>15</v>
      </c>
      <c r="G18" t="s">
        <v>16</v>
      </c>
      <c r="H18">
        <v>1100</v>
      </c>
      <c r="I18" s="3">
        <v>2.29</v>
      </c>
      <c r="J18" s="3">
        <f t="shared" si="0"/>
        <v>2519</v>
      </c>
      <c r="K18" s="3">
        <f>H18*VLOOKUP(E18,'Product Catalog'!A:F,6,FALSE)</f>
        <v>891.00000000000011</v>
      </c>
      <c r="L18" s="3">
        <f t="shared" si="1"/>
        <v>1628</v>
      </c>
      <c r="M18" t="s">
        <v>90</v>
      </c>
      <c r="N18" t="s">
        <v>87</v>
      </c>
      <c r="O18" t="s">
        <v>204</v>
      </c>
    </row>
    <row r="19" spans="1:15" x14ac:dyDescent="0.25">
      <c r="A19" t="s">
        <v>221</v>
      </c>
      <c r="B19" s="9">
        <v>45342</v>
      </c>
      <c r="C19" t="s">
        <v>102</v>
      </c>
      <c r="D19" t="s">
        <v>103</v>
      </c>
      <c r="E19" t="s">
        <v>13</v>
      </c>
      <c r="F19" t="s">
        <v>9</v>
      </c>
      <c r="G19" t="s">
        <v>10</v>
      </c>
      <c r="H19">
        <v>800</v>
      </c>
      <c r="I19" s="3">
        <v>2.4900000000000002</v>
      </c>
      <c r="J19" s="3">
        <f t="shared" si="0"/>
        <v>1992.0000000000002</v>
      </c>
      <c r="K19" s="3">
        <f>H19*VLOOKUP(E19,'Product Catalog'!A:F,6,FALSE)</f>
        <v>712</v>
      </c>
      <c r="L19" s="3">
        <f t="shared" si="1"/>
        <v>1280.0000000000002</v>
      </c>
      <c r="M19" t="s">
        <v>76</v>
      </c>
      <c r="N19" t="s">
        <v>74</v>
      </c>
      <c r="O19" t="s">
        <v>204</v>
      </c>
    </row>
    <row r="20" spans="1:15" x14ac:dyDescent="0.25">
      <c r="A20" t="s">
        <v>222</v>
      </c>
      <c r="B20" s="9">
        <v>45344</v>
      </c>
      <c r="C20" t="s">
        <v>124</v>
      </c>
      <c r="D20" t="s">
        <v>125</v>
      </c>
      <c r="E20" t="s">
        <v>26</v>
      </c>
      <c r="F20" t="s">
        <v>27</v>
      </c>
      <c r="G20" t="s">
        <v>20</v>
      </c>
      <c r="H20">
        <v>420</v>
      </c>
      <c r="I20" s="3">
        <v>1.19</v>
      </c>
      <c r="J20" s="3">
        <f t="shared" si="0"/>
        <v>499.79999999999995</v>
      </c>
      <c r="K20" s="3">
        <f>H20*VLOOKUP(E20,'Product Catalog'!A:F,6,FALSE)</f>
        <v>155.4</v>
      </c>
      <c r="L20" s="3">
        <f t="shared" si="1"/>
        <v>344.4</v>
      </c>
      <c r="M20" t="s">
        <v>64</v>
      </c>
      <c r="N20" t="s">
        <v>60</v>
      </c>
      <c r="O20" t="s">
        <v>204</v>
      </c>
    </row>
    <row r="21" spans="1:15" x14ac:dyDescent="0.25">
      <c r="A21" t="s">
        <v>223</v>
      </c>
      <c r="B21" s="9">
        <v>45347</v>
      </c>
      <c r="C21" t="s">
        <v>151</v>
      </c>
      <c r="D21" t="s">
        <v>152</v>
      </c>
      <c r="E21" t="s">
        <v>12</v>
      </c>
      <c r="F21" t="s">
        <v>9</v>
      </c>
      <c r="G21" t="s">
        <v>10</v>
      </c>
      <c r="H21">
        <v>700</v>
      </c>
      <c r="I21" s="3">
        <v>1.99</v>
      </c>
      <c r="J21" s="3">
        <f t="shared" si="0"/>
        <v>1393</v>
      </c>
      <c r="K21" s="3">
        <f>H21*VLOOKUP(E21,'Product Catalog'!A:F,6,FALSE)</f>
        <v>504</v>
      </c>
      <c r="L21" s="3">
        <f t="shared" si="1"/>
        <v>889</v>
      </c>
      <c r="M21" t="s">
        <v>83</v>
      </c>
      <c r="N21" t="s">
        <v>80</v>
      </c>
      <c r="O21" t="s">
        <v>204</v>
      </c>
    </row>
    <row r="22" spans="1:15" x14ac:dyDescent="0.25">
      <c r="A22" t="s">
        <v>224</v>
      </c>
      <c r="B22" s="9">
        <v>45352</v>
      </c>
      <c r="C22" t="s">
        <v>57</v>
      </c>
      <c r="D22" t="s">
        <v>58</v>
      </c>
      <c r="E22" t="s">
        <v>22</v>
      </c>
      <c r="F22" t="s">
        <v>19</v>
      </c>
      <c r="G22" t="s">
        <v>20</v>
      </c>
      <c r="H22">
        <v>950</v>
      </c>
      <c r="I22" s="3">
        <v>2.79</v>
      </c>
      <c r="J22" s="3">
        <f t="shared" si="0"/>
        <v>2650.5</v>
      </c>
      <c r="K22" s="3">
        <f>H22*VLOOKUP(E22,'Product Catalog'!A:F,6,FALSE)</f>
        <v>874</v>
      </c>
      <c r="L22" s="3">
        <f t="shared" si="1"/>
        <v>1776.5</v>
      </c>
      <c r="M22" t="s">
        <v>64</v>
      </c>
      <c r="N22" t="s">
        <v>60</v>
      </c>
      <c r="O22" t="s">
        <v>204</v>
      </c>
    </row>
    <row r="23" spans="1:15" x14ac:dyDescent="0.25">
      <c r="A23" t="s">
        <v>225</v>
      </c>
      <c r="B23" s="9">
        <v>45355</v>
      </c>
      <c r="C23" t="s">
        <v>71</v>
      </c>
      <c r="D23" t="s">
        <v>72</v>
      </c>
      <c r="E23" t="s">
        <v>33</v>
      </c>
      <c r="F23" t="s">
        <v>34</v>
      </c>
      <c r="G23" t="s">
        <v>35</v>
      </c>
      <c r="H23">
        <v>650</v>
      </c>
      <c r="I23" s="3">
        <v>2.4900000000000002</v>
      </c>
      <c r="J23" s="3">
        <f t="shared" si="0"/>
        <v>1618.5000000000002</v>
      </c>
      <c r="K23" s="3">
        <f>H23*VLOOKUP(E23,'Product Catalog'!A:F,6,FALSE)</f>
        <v>533</v>
      </c>
      <c r="L23" s="3">
        <f t="shared" si="1"/>
        <v>1085.5000000000002</v>
      </c>
      <c r="M23" t="s">
        <v>76</v>
      </c>
      <c r="N23" t="s">
        <v>74</v>
      </c>
      <c r="O23" t="s">
        <v>204</v>
      </c>
    </row>
    <row r="24" spans="1:15" x14ac:dyDescent="0.25">
      <c r="A24" t="s">
        <v>226</v>
      </c>
      <c r="B24" s="9">
        <v>45358</v>
      </c>
      <c r="C24" t="s">
        <v>84</v>
      </c>
      <c r="D24" t="s">
        <v>85</v>
      </c>
      <c r="E24" t="s">
        <v>32</v>
      </c>
      <c r="F24" t="s">
        <v>30</v>
      </c>
      <c r="G24" t="s">
        <v>31</v>
      </c>
      <c r="H24">
        <v>800</v>
      </c>
      <c r="I24" s="3">
        <v>3.99</v>
      </c>
      <c r="J24" s="3">
        <f t="shared" si="0"/>
        <v>3192</v>
      </c>
      <c r="K24" s="3">
        <f>H24*VLOOKUP(E24,'Product Catalog'!A:F,6,FALSE)</f>
        <v>1024</v>
      </c>
      <c r="L24" s="3">
        <f t="shared" si="1"/>
        <v>2168</v>
      </c>
      <c r="M24" t="s">
        <v>90</v>
      </c>
      <c r="N24" t="s">
        <v>87</v>
      </c>
      <c r="O24" t="s">
        <v>204</v>
      </c>
    </row>
    <row r="25" spans="1:15" x14ac:dyDescent="0.25">
      <c r="A25" t="s">
        <v>227</v>
      </c>
      <c r="B25" s="9">
        <v>45361</v>
      </c>
      <c r="C25" t="s">
        <v>96</v>
      </c>
      <c r="D25" t="s">
        <v>97</v>
      </c>
      <c r="E25" t="s">
        <v>37</v>
      </c>
      <c r="F25" t="s">
        <v>38</v>
      </c>
      <c r="G25" t="s">
        <v>39</v>
      </c>
      <c r="H25">
        <v>380</v>
      </c>
      <c r="I25" s="3">
        <v>1.79</v>
      </c>
      <c r="J25" s="3">
        <f t="shared" si="0"/>
        <v>680.2</v>
      </c>
      <c r="K25" s="3">
        <f>H25*VLOOKUP(E25,'Product Catalog'!A:F,6,FALSE)</f>
        <v>220.39999999999998</v>
      </c>
      <c r="L25" s="3">
        <f t="shared" si="1"/>
        <v>459.80000000000007</v>
      </c>
      <c r="M25" t="s">
        <v>83</v>
      </c>
      <c r="N25" t="s">
        <v>80</v>
      </c>
      <c r="O25" t="s">
        <v>204</v>
      </c>
    </row>
    <row r="26" spans="1:15" x14ac:dyDescent="0.25">
      <c r="A26" t="s">
        <v>228</v>
      </c>
      <c r="B26" s="9">
        <v>45363</v>
      </c>
      <c r="C26" t="s">
        <v>65</v>
      </c>
      <c r="D26" t="s">
        <v>66</v>
      </c>
      <c r="E26" t="s">
        <v>18</v>
      </c>
      <c r="F26" t="s">
        <v>19</v>
      </c>
      <c r="G26" t="s">
        <v>20</v>
      </c>
      <c r="H26">
        <v>550</v>
      </c>
      <c r="I26" s="3">
        <v>1.19</v>
      </c>
      <c r="J26" s="3">
        <f t="shared" si="0"/>
        <v>654.5</v>
      </c>
      <c r="K26" s="3">
        <f>H26*VLOOKUP(E26,'Product Catalog'!A:F,6,FALSE)</f>
        <v>209</v>
      </c>
      <c r="L26" s="3">
        <f t="shared" si="1"/>
        <v>445.5</v>
      </c>
      <c r="M26" t="s">
        <v>64</v>
      </c>
      <c r="N26" t="s">
        <v>60</v>
      </c>
      <c r="O26" t="s">
        <v>204</v>
      </c>
    </row>
    <row r="27" spans="1:15" x14ac:dyDescent="0.25">
      <c r="A27" t="s">
        <v>229</v>
      </c>
      <c r="B27" s="9">
        <v>45366</v>
      </c>
      <c r="C27" t="s">
        <v>110</v>
      </c>
      <c r="D27" t="s">
        <v>111</v>
      </c>
      <c r="E27" t="s">
        <v>45</v>
      </c>
      <c r="F27" t="s">
        <v>46</v>
      </c>
      <c r="G27" t="s">
        <v>44</v>
      </c>
      <c r="H27">
        <v>480</v>
      </c>
      <c r="I27" s="3">
        <v>1.99</v>
      </c>
      <c r="J27" s="3">
        <f t="shared" si="0"/>
        <v>955.2</v>
      </c>
      <c r="K27" s="3">
        <f>H27*VLOOKUP(E27,'Product Catalog'!A:F,6,FALSE)</f>
        <v>355.2</v>
      </c>
      <c r="L27" s="3">
        <f t="shared" si="1"/>
        <v>600</v>
      </c>
      <c r="M27" t="s">
        <v>76</v>
      </c>
      <c r="N27" t="s">
        <v>74</v>
      </c>
      <c r="O27" t="s">
        <v>204</v>
      </c>
    </row>
    <row r="28" spans="1:15" x14ac:dyDescent="0.25">
      <c r="A28" t="s">
        <v>230</v>
      </c>
      <c r="B28" s="9">
        <v>45369</v>
      </c>
      <c r="C28" t="s">
        <v>120</v>
      </c>
      <c r="D28" t="s">
        <v>121</v>
      </c>
      <c r="E28" t="s">
        <v>23</v>
      </c>
      <c r="F28" t="s">
        <v>24</v>
      </c>
      <c r="G28" t="s">
        <v>20</v>
      </c>
      <c r="H28">
        <v>1200</v>
      </c>
      <c r="I28" s="3">
        <v>1.19</v>
      </c>
      <c r="J28" s="3">
        <f t="shared" si="0"/>
        <v>1428</v>
      </c>
      <c r="K28" s="3">
        <f>H28*VLOOKUP(E28,'Product Catalog'!A:F,6,FALSE)</f>
        <v>468</v>
      </c>
      <c r="L28" s="3">
        <f t="shared" si="1"/>
        <v>960</v>
      </c>
      <c r="M28" t="s">
        <v>90</v>
      </c>
      <c r="N28" t="s">
        <v>87</v>
      </c>
      <c r="O28" t="s">
        <v>204</v>
      </c>
    </row>
    <row r="29" spans="1:15" x14ac:dyDescent="0.25">
      <c r="A29" t="s">
        <v>231</v>
      </c>
      <c r="B29" s="9">
        <v>45371</v>
      </c>
      <c r="C29" t="s">
        <v>134</v>
      </c>
      <c r="D29" t="s">
        <v>135</v>
      </c>
      <c r="E29" t="s">
        <v>8</v>
      </c>
      <c r="F29" t="s">
        <v>9</v>
      </c>
      <c r="G29" t="s">
        <v>10</v>
      </c>
      <c r="H29">
        <v>850</v>
      </c>
      <c r="I29" s="3">
        <v>1.29</v>
      </c>
      <c r="J29" s="3">
        <f t="shared" si="0"/>
        <v>1096.5</v>
      </c>
      <c r="K29" s="3">
        <f>H29*VLOOKUP(E29,'Product Catalog'!A:F,6,FALSE)</f>
        <v>382.5</v>
      </c>
      <c r="L29" s="3">
        <f t="shared" si="1"/>
        <v>714</v>
      </c>
      <c r="M29" t="s">
        <v>83</v>
      </c>
      <c r="N29" t="s">
        <v>80</v>
      </c>
      <c r="O29" t="s">
        <v>204</v>
      </c>
    </row>
    <row r="30" spans="1:15" x14ac:dyDescent="0.25">
      <c r="A30" t="s">
        <v>232</v>
      </c>
      <c r="B30" s="9">
        <v>45373</v>
      </c>
      <c r="C30" t="s">
        <v>143</v>
      </c>
      <c r="D30" t="s">
        <v>144</v>
      </c>
      <c r="E30" t="s">
        <v>25</v>
      </c>
      <c r="F30" t="s">
        <v>24</v>
      </c>
      <c r="G30" t="s">
        <v>20</v>
      </c>
      <c r="H30">
        <v>1600</v>
      </c>
      <c r="I30" s="3">
        <v>1.49</v>
      </c>
      <c r="J30" s="3">
        <f t="shared" si="0"/>
        <v>2384</v>
      </c>
      <c r="K30" s="3">
        <f>H30*VLOOKUP(E30,'Product Catalog'!A:F,6,FALSE)</f>
        <v>784</v>
      </c>
      <c r="L30" s="3">
        <f t="shared" si="1"/>
        <v>1600</v>
      </c>
      <c r="M30" t="s">
        <v>64</v>
      </c>
      <c r="N30" t="s">
        <v>60</v>
      </c>
      <c r="O30" t="s">
        <v>204</v>
      </c>
    </row>
    <row r="31" spans="1:15" x14ac:dyDescent="0.25">
      <c r="A31" t="s">
        <v>233</v>
      </c>
      <c r="B31" s="9">
        <v>45376</v>
      </c>
      <c r="C31" t="s">
        <v>147</v>
      </c>
      <c r="D31" t="s">
        <v>148</v>
      </c>
      <c r="E31" t="s">
        <v>29</v>
      </c>
      <c r="F31" t="s">
        <v>30</v>
      </c>
      <c r="G31" t="s">
        <v>31</v>
      </c>
      <c r="H31">
        <v>900</v>
      </c>
      <c r="I31" s="3">
        <v>2.99</v>
      </c>
      <c r="J31" s="3">
        <f t="shared" si="0"/>
        <v>2691</v>
      </c>
      <c r="K31" s="3">
        <f>H31*VLOOKUP(E31,'Product Catalog'!A:F,6,FALSE)</f>
        <v>855</v>
      </c>
      <c r="L31" s="3">
        <f t="shared" si="1"/>
        <v>1836</v>
      </c>
      <c r="M31" t="s">
        <v>76</v>
      </c>
      <c r="N31" t="s">
        <v>74</v>
      </c>
      <c r="O31" t="s">
        <v>234</v>
      </c>
    </row>
    <row r="32" spans="1:15" x14ac:dyDescent="0.25">
      <c r="A32" t="s">
        <v>235</v>
      </c>
      <c r="B32" s="9">
        <v>45383</v>
      </c>
      <c r="C32" t="s">
        <v>77</v>
      </c>
      <c r="D32" t="s">
        <v>78</v>
      </c>
      <c r="E32" t="s">
        <v>13</v>
      </c>
      <c r="F32" t="s">
        <v>9</v>
      </c>
      <c r="G32" t="s">
        <v>10</v>
      </c>
      <c r="H32">
        <v>720</v>
      </c>
      <c r="I32" s="3">
        <v>2.4900000000000002</v>
      </c>
      <c r="J32" s="3">
        <f t="shared" si="0"/>
        <v>1792.8000000000002</v>
      </c>
      <c r="K32" s="3">
        <f>H32*VLOOKUP(E32,'Product Catalog'!A:F,6,FALSE)</f>
        <v>640.79999999999995</v>
      </c>
      <c r="L32" s="3">
        <f t="shared" si="1"/>
        <v>1152.0000000000002</v>
      </c>
      <c r="M32" t="s">
        <v>83</v>
      </c>
      <c r="N32" t="s">
        <v>80</v>
      </c>
      <c r="O32" t="s">
        <v>204</v>
      </c>
    </row>
    <row r="33" spans="1:15" x14ac:dyDescent="0.25">
      <c r="A33" t="s">
        <v>236</v>
      </c>
      <c r="B33" s="9">
        <v>45386</v>
      </c>
      <c r="C33" t="s">
        <v>91</v>
      </c>
      <c r="D33" t="s">
        <v>92</v>
      </c>
      <c r="E33" t="s">
        <v>36</v>
      </c>
      <c r="F33" t="s">
        <v>34</v>
      </c>
      <c r="G33" t="s">
        <v>35</v>
      </c>
      <c r="H33">
        <v>580</v>
      </c>
      <c r="I33" s="3">
        <v>3.49</v>
      </c>
      <c r="J33" s="3">
        <f t="shared" si="0"/>
        <v>2024.2</v>
      </c>
      <c r="K33" s="3">
        <f>H33*VLOOKUP(E33,'Product Catalog'!A:F,6,FALSE)</f>
        <v>667</v>
      </c>
      <c r="L33" s="3">
        <f t="shared" si="1"/>
        <v>1357.2</v>
      </c>
      <c r="M33" t="s">
        <v>90</v>
      </c>
      <c r="N33" t="s">
        <v>87</v>
      </c>
      <c r="O33" t="s">
        <v>204</v>
      </c>
    </row>
    <row r="34" spans="1:15" x14ac:dyDescent="0.25">
      <c r="A34" t="s">
        <v>237</v>
      </c>
      <c r="B34" s="9">
        <v>45389</v>
      </c>
      <c r="C34" t="s">
        <v>106</v>
      </c>
      <c r="D34" t="s">
        <v>107</v>
      </c>
      <c r="E34" t="s">
        <v>28</v>
      </c>
      <c r="F34" t="s">
        <v>27</v>
      </c>
      <c r="G34" t="s">
        <v>20</v>
      </c>
      <c r="H34">
        <v>390</v>
      </c>
      <c r="I34" s="3">
        <v>1.49</v>
      </c>
      <c r="J34" s="3">
        <f t="shared" ref="J34:J51" si="2">H34*I34</f>
        <v>581.1</v>
      </c>
      <c r="K34" s="3">
        <f>H34*VLOOKUP(E34,'Product Catalog'!A:F,6,FALSE)</f>
        <v>183.29999999999998</v>
      </c>
      <c r="L34" s="3">
        <f t="shared" ref="L34:L51" si="3">J34-K34</f>
        <v>397.80000000000007</v>
      </c>
      <c r="M34" t="s">
        <v>64</v>
      </c>
      <c r="N34" t="s">
        <v>60</v>
      </c>
      <c r="O34" t="s">
        <v>204</v>
      </c>
    </row>
    <row r="35" spans="1:15" x14ac:dyDescent="0.25">
      <c r="A35" t="s">
        <v>238</v>
      </c>
      <c r="B35" s="9">
        <v>45392</v>
      </c>
      <c r="C35" t="s">
        <v>129</v>
      </c>
      <c r="D35" t="s">
        <v>130</v>
      </c>
      <c r="E35" t="s">
        <v>12</v>
      </c>
      <c r="F35" t="s">
        <v>9</v>
      </c>
      <c r="G35" t="s">
        <v>10</v>
      </c>
      <c r="H35">
        <v>950</v>
      </c>
      <c r="I35" s="3">
        <v>1.99</v>
      </c>
      <c r="J35" s="3">
        <f t="shared" si="2"/>
        <v>1890.5</v>
      </c>
      <c r="K35" s="3">
        <f>H35*VLOOKUP(E35,'Product Catalog'!A:F,6,FALSE)</f>
        <v>684</v>
      </c>
      <c r="L35" s="3">
        <f t="shared" si="3"/>
        <v>1206.5</v>
      </c>
      <c r="M35" t="s">
        <v>76</v>
      </c>
      <c r="N35" t="s">
        <v>74</v>
      </c>
      <c r="O35" t="s">
        <v>204</v>
      </c>
    </row>
    <row r="36" spans="1:15" x14ac:dyDescent="0.25">
      <c r="A36" t="s">
        <v>239</v>
      </c>
      <c r="B36" s="9">
        <v>45394</v>
      </c>
      <c r="C36" t="s">
        <v>115</v>
      </c>
      <c r="D36" t="s">
        <v>116</v>
      </c>
      <c r="E36" t="s">
        <v>21</v>
      </c>
      <c r="F36" t="s">
        <v>19</v>
      </c>
      <c r="G36" t="s">
        <v>20</v>
      </c>
      <c r="H36">
        <v>310</v>
      </c>
      <c r="I36" s="3">
        <v>1.49</v>
      </c>
      <c r="J36" s="3">
        <f t="shared" si="2"/>
        <v>461.9</v>
      </c>
      <c r="K36" s="3">
        <f>H36*VLOOKUP(E36,'Product Catalog'!A:F,6,FALSE)</f>
        <v>148.79999999999998</v>
      </c>
      <c r="L36" s="3">
        <f t="shared" si="3"/>
        <v>313.10000000000002</v>
      </c>
      <c r="M36" t="s">
        <v>83</v>
      </c>
      <c r="N36" t="s">
        <v>80</v>
      </c>
      <c r="O36" t="s">
        <v>204</v>
      </c>
    </row>
    <row r="37" spans="1:15" x14ac:dyDescent="0.25">
      <c r="A37" t="s">
        <v>240</v>
      </c>
      <c r="B37" s="9">
        <v>45397</v>
      </c>
      <c r="C37" t="s">
        <v>139</v>
      </c>
      <c r="D37" t="s">
        <v>140</v>
      </c>
      <c r="E37" t="s">
        <v>33</v>
      </c>
      <c r="F37" t="s">
        <v>34</v>
      </c>
      <c r="G37" t="s">
        <v>35</v>
      </c>
      <c r="H37">
        <v>620</v>
      </c>
      <c r="I37" s="3">
        <v>2.4900000000000002</v>
      </c>
      <c r="J37" s="3">
        <f t="shared" si="2"/>
        <v>1543.8000000000002</v>
      </c>
      <c r="K37" s="3">
        <f>H37*VLOOKUP(E37,'Product Catalog'!A:F,6,FALSE)</f>
        <v>508.4</v>
      </c>
      <c r="L37" s="3">
        <f t="shared" si="3"/>
        <v>1035.4000000000001</v>
      </c>
      <c r="M37" t="s">
        <v>90</v>
      </c>
      <c r="N37" t="s">
        <v>87</v>
      </c>
      <c r="O37" t="s">
        <v>204</v>
      </c>
    </row>
    <row r="38" spans="1:15" x14ac:dyDescent="0.25">
      <c r="A38" t="s">
        <v>241</v>
      </c>
      <c r="B38" s="9">
        <v>45400</v>
      </c>
      <c r="C38" t="s">
        <v>155</v>
      </c>
      <c r="D38" t="s">
        <v>156</v>
      </c>
      <c r="E38" t="s">
        <v>22</v>
      </c>
      <c r="F38" t="s">
        <v>19</v>
      </c>
      <c r="G38" t="s">
        <v>20</v>
      </c>
      <c r="H38">
        <v>1400</v>
      </c>
      <c r="I38" s="3">
        <v>2.79</v>
      </c>
      <c r="J38" s="3">
        <f t="shared" si="2"/>
        <v>3906</v>
      </c>
      <c r="K38" s="3">
        <f>H38*VLOOKUP(E38,'Product Catalog'!A:F,6,FALSE)</f>
        <v>1288</v>
      </c>
      <c r="L38" s="3">
        <f t="shared" si="3"/>
        <v>2618</v>
      </c>
      <c r="M38" t="s">
        <v>90</v>
      </c>
      <c r="N38" t="s">
        <v>87</v>
      </c>
      <c r="O38" t="s">
        <v>234</v>
      </c>
    </row>
    <row r="39" spans="1:15" x14ac:dyDescent="0.25">
      <c r="A39" t="s">
        <v>242</v>
      </c>
      <c r="B39" s="9">
        <v>45402</v>
      </c>
      <c r="C39" t="s">
        <v>102</v>
      </c>
      <c r="D39" t="s">
        <v>103</v>
      </c>
      <c r="E39" t="s">
        <v>42</v>
      </c>
      <c r="F39" t="s">
        <v>43</v>
      </c>
      <c r="G39" t="s">
        <v>44</v>
      </c>
      <c r="H39">
        <v>520</v>
      </c>
      <c r="I39" s="3">
        <v>1.99</v>
      </c>
      <c r="J39" s="3">
        <f t="shared" si="2"/>
        <v>1034.8</v>
      </c>
      <c r="K39" s="3">
        <f>H39*VLOOKUP(E39,'Product Catalog'!A:F,6,FALSE)</f>
        <v>374.4</v>
      </c>
      <c r="L39" s="3">
        <f t="shared" si="3"/>
        <v>660.4</v>
      </c>
      <c r="M39" t="s">
        <v>76</v>
      </c>
      <c r="N39" t="s">
        <v>74</v>
      </c>
      <c r="O39" t="s">
        <v>204</v>
      </c>
    </row>
    <row r="40" spans="1:15" x14ac:dyDescent="0.25">
      <c r="A40" t="s">
        <v>243</v>
      </c>
      <c r="B40" s="9">
        <v>45404</v>
      </c>
      <c r="C40" t="s">
        <v>124</v>
      </c>
      <c r="D40" t="s">
        <v>125</v>
      </c>
      <c r="E40" t="s">
        <v>14</v>
      </c>
      <c r="F40" t="s">
        <v>15</v>
      </c>
      <c r="G40" t="s">
        <v>16</v>
      </c>
      <c r="H40">
        <v>340</v>
      </c>
      <c r="I40" s="3">
        <v>1.49</v>
      </c>
      <c r="J40" s="3">
        <f t="shared" si="2"/>
        <v>506.6</v>
      </c>
      <c r="K40" s="3">
        <f>H40*VLOOKUP(E40,'Product Catalog'!A:F,6,FALSE)</f>
        <v>176.8</v>
      </c>
      <c r="L40" s="3">
        <f t="shared" si="3"/>
        <v>329.8</v>
      </c>
      <c r="M40" t="s">
        <v>64</v>
      </c>
      <c r="N40" t="s">
        <v>60</v>
      </c>
      <c r="O40" t="s">
        <v>204</v>
      </c>
    </row>
    <row r="41" spans="1:15" x14ac:dyDescent="0.25">
      <c r="A41" t="s">
        <v>244</v>
      </c>
      <c r="B41" s="9">
        <v>45407</v>
      </c>
      <c r="C41" t="s">
        <v>151</v>
      </c>
      <c r="D41" t="s">
        <v>152</v>
      </c>
      <c r="E41" t="s">
        <v>37</v>
      </c>
      <c r="F41" t="s">
        <v>38</v>
      </c>
      <c r="G41" t="s">
        <v>39</v>
      </c>
      <c r="H41">
        <v>450</v>
      </c>
      <c r="I41" s="3">
        <v>1.79</v>
      </c>
      <c r="J41" s="3">
        <f t="shared" si="2"/>
        <v>805.5</v>
      </c>
      <c r="K41" s="3">
        <f>H41*VLOOKUP(E41,'Product Catalog'!A:F,6,FALSE)</f>
        <v>261</v>
      </c>
      <c r="L41" s="3">
        <f t="shared" si="3"/>
        <v>544.5</v>
      </c>
      <c r="M41" t="s">
        <v>83</v>
      </c>
      <c r="N41" t="s">
        <v>80</v>
      </c>
      <c r="O41" t="s">
        <v>204</v>
      </c>
    </row>
    <row r="42" spans="1:15" x14ac:dyDescent="0.25">
      <c r="A42" t="s">
        <v>245</v>
      </c>
      <c r="B42" s="9">
        <v>45413</v>
      </c>
      <c r="C42" t="s">
        <v>57</v>
      </c>
      <c r="D42" t="s">
        <v>58</v>
      </c>
      <c r="E42" t="s">
        <v>32</v>
      </c>
      <c r="F42" t="s">
        <v>30</v>
      </c>
      <c r="G42" t="s">
        <v>31</v>
      </c>
      <c r="H42">
        <v>680</v>
      </c>
      <c r="I42" s="3">
        <v>3.99</v>
      </c>
      <c r="J42" s="3">
        <f t="shared" si="2"/>
        <v>2713.2000000000003</v>
      </c>
      <c r="K42" s="3">
        <f>H42*VLOOKUP(E42,'Product Catalog'!A:F,6,FALSE)</f>
        <v>870.4</v>
      </c>
      <c r="L42" s="3">
        <f t="shared" si="3"/>
        <v>1842.8000000000002</v>
      </c>
      <c r="M42" t="s">
        <v>64</v>
      </c>
      <c r="N42" t="s">
        <v>60</v>
      </c>
      <c r="O42" t="s">
        <v>204</v>
      </c>
    </row>
    <row r="43" spans="1:15" x14ac:dyDescent="0.25">
      <c r="A43" t="s">
        <v>246</v>
      </c>
      <c r="B43" s="9">
        <v>45416</v>
      </c>
      <c r="C43" t="s">
        <v>71</v>
      </c>
      <c r="D43" t="s">
        <v>72</v>
      </c>
      <c r="E43" t="s">
        <v>8</v>
      </c>
      <c r="F43" t="s">
        <v>9</v>
      </c>
      <c r="G43" t="s">
        <v>10</v>
      </c>
      <c r="H43">
        <v>1100</v>
      </c>
      <c r="I43" s="3">
        <v>1.29</v>
      </c>
      <c r="J43" s="3">
        <f t="shared" si="2"/>
        <v>1419</v>
      </c>
      <c r="K43" s="3">
        <f>H43*VLOOKUP(E43,'Product Catalog'!A:F,6,FALSE)</f>
        <v>495</v>
      </c>
      <c r="L43" s="3">
        <f t="shared" si="3"/>
        <v>924</v>
      </c>
      <c r="M43" t="s">
        <v>76</v>
      </c>
      <c r="N43" t="s">
        <v>74</v>
      </c>
      <c r="O43" t="s">
        <v>204</v>
      </c>
    </row>
    <row r="44" spans="1:15" x14ac:dyDescent="0.25">
      <c r="A44" t="s">
        <v>247</v>
      </c>
      <c r="B44" s="9">
        <v>45419</v>
      </c>
      <c r="C44" t="s">
        <v>84</v>
      </c>
      <c r="D44" t="s">
        <v>85</v>
      </c>
      <c r="E44" t="s">
        <v>36</v>
      </c>
      <c r="F44" t="s">
        <v>34</v>
      </c>
      <c r="G44" t="s">
        <v>35</v>
      </c>
      <c r="H44">
        <v>950</v>
      </c>
      <c r="I44" s="3">
        <v>3.49</v>
      </c>
      <c r="J44" s="3">
        <f t="shared" si="2"/>
        <v>3315.5</v>
      </c>
      <c r="K44" s="3">
        <f>H44*VLOOKUP(E44,'Product Catalog'!A:F,6,FALSE)</f>
        <v>1092.5</v>
      </c>
      <c r="L44" s="3">
        <f t="shared" si="3"/>
        <v>2223</v>
      </c>
      <c r="M44" t="s">
        <v>90</v>
      </c>
      <c r="N44" t="s">
        <v>87</v>
      </c>
      <c r="O44" t="s">
        <v>204</v>
      </c>
    </row>
    <row r="45" spans="1:15" x14ac:dyDescent="0.25">
      <c r="A45" t="s">
        <v>248</v>
      </c>
      <c r="B45" s="9">
        <v>45422</v>
      </c>
      <c r="C45" t="s">
        <v>96</v>
      </c>
      <c r="D45" t="s">
        <v>97</v>
      </c>
      <c r="E45" t="s">
        <v>40</v>
      </c>
      <c r="F45" t="s">
        <v>41</v>
      </c>
      <c r="G45" t="s">
        <v>39</v>
      </c>
      <c r="H45">
        <v>360</v>
      </c>
      <c r="I45" s="3">
        <v>1.79</v>
      </c>
      <c r="J45" s="3">
        <f t="shared" si="2"/>
        <v>644.4</v>
      </c>
      <c r="K45" s="3">
        <f>H45*VLOOKUP(E45,'Product Catalog'!A:F,6,FALSE)</f>
        <v>212.39999999999998</v>
      </c>
      <c r="L45" s="3">
        <f t="shared" si="3"/>
        <v>432</v>
      </c>
      <c r="M45" t="s">
        <v>83</v>
      </c>
      <c r="N45" t="s">
        <v>80</v>
      </c>
      <c r="O45" t="s">
        <v>234</v>
      </c>
    </row>
    <row r="46" spans="1:15" x14ac:dyDescent="0.25">
      <c r="A46" t="s">
        <v>249</v>
      </c>
      <c r="B46" s="9">
        <v>45424</v>
      </c>
      <c r="C46" t="s">
        <v>65</v>
      </c>
      <c r="D46" t="s">
        <v>66</v>
      </c>
      <c r="E46" t="s">
        <v>23</v>
      </c>
      <c r="F46" t="s">
        <v>24</v>
      </c>
      <c r="G46" t="s">
        <v>20</v>
      </c>
      <c r="H46">
        <v>480</v>
      </c>
      <c r="I46" s="3">
        <v>1.19</v>
      </c>
      <c r="J46" s="3">
        <f t="shared" si="2"/>
        <v>571.19999999999993</v>
      </c>
      <c r="K46" s="3">
        <f>H46*VLOOKUP(E46,'Product Catalog'!A:F,6,FALSE)</f>
        <v>187.20000000000002</v>
      </c>
      <c r="L46" s="3">
        <f t="shared" si="3"/>
        <v>383.99999999999989</v>
      </c>
      <c r="M46" t="s">
        <v>64</v>
      </c>
      <c r="N46" t="s">
        <v>60</v>
      </c>
      <c r="O46" t="s">
        <v>204</v>
      </c>
    </row>
    <row r="47" spans="1:15" x14ac:dyDescent="0.25">
      <c r="A47" t="s">
        <v>250</v>
      </c>
      <c r="B47" s="9">
        <v>45427</v>
      </c>
      <c r="C47" t="s">
        <v>110</v>
      </c>
      <c r="D47" t="s">
        <v>111</v>
      </c>
      <c r="E47" t="s">
        <v>17</v>
      </c>
      <c r="F47" t="s">
        <v>15</v>
      </c>
      <c r="G47" t="s">
        <v>16</v>
      </c>
      <c r="H47">
        <v>780</v>
      </c>
      <c r="I47" s="3">
        <v>2.29</v>
      </c>
      <c r="J47" s="3">
        <f t="shared" si="2"/>
        <v>1786.2</v>
      </c>
      <c r="K47" s="3">
        <f>H47*VLOOKUP(E47,'Product Catalog'!A:F,6,FALSE)</f>
        <v>631.80000000000007</v>
      </c>
      <c r="L47" s="3">
        <f t="shared" si="3"/>
        <v>1154.4000000000001</v>
      </c>
      <c r="M47" t="s">
        <v>76</v>
      </c>
      <c r="N47" t="s">
        <v>74</v>
      </c>
      <c r="O47" t="s">
        <v>204</v>
      </c>
    </row>
    <row r="48" spans="1:15" x14ac:dyDescent="0.25">
      <c r="A48" t="s">
        <v>251</v>
      </c>
      <c r="B48" s="9">
        <v>45430</v>
      </c>
      <c r="C48" t="s">
        <v>120</v>
      </c>
      <c r="D48" t="s">
        <v>121</v>
      </c>
      <c r="E48" t="s">
        <v>18</v>
      </c>
      <c r="F48" t="s">
        <v>19</v>
      </c>
      <c r="G48" t="s">
        <v>20</v>
      </c>
      <c r="H48">
        <v>1350</v>
      </c>
      <c r="I48" s="3">
        <v>1.19</v>
      </c>
      <c r="J48" s="3">
        <f t="shared" si="2"/>
        <v>1606.5</v>
      </c>
      <c r="K48" s="3">
        <f>H48*VLOOKUP(E48,'Product Catalog'!A:F,6,FALSE)</f>
        <v>513</v>
      </c>
      <c r="L48" s="3">
        <f t="shared" si="3"/>
        <v>1093.5</v>
      </c>
      <c r="M48" t="s">
        <v>90</v>
      </c>
      <c r="N48" t="s">
        <v>87</v>
      </c>
      <c r="O48" t="s">
        <v>204</v>
      </c>
    </row>
    <row r="49" spans="1:15" x14ac:dyDescent="0.25">
      <c r="A49" t="s">
        <v>252</v>
      </c>
      <c r="B49" s="9">
        <v>45432</v>
      </c>
      <c r="C49" t="s">
        <v>134</v>
      </c>
      <c r="D49" t="s">
        <v>135</v>
      </c>
      <c r="E49" t="s">
        <v>29</v>
      </c>
      <c r="F49" t="s">
        <v>30</v>
      </c>
      <c r="G49" t="s">
        <v>31</v>
      </c>
      <c r="H49">
        <v>550</v>
      </c>
      <c r="I49" s="3">
        <v>2.99</v>
      </c>
      <c r="J49" s="3">
        <f t="shared" si="2"/>
        <v>1644.5000000000002</v>
      </c>
      <c r="K49" s="3">
        <f>H49*VLOOKUP(E49,'Product Catalog'!A:F,6,FALSE)</f>
        <v>522.5</v>
      </c>
      <c r="L49" s="3">
        <f t="shared" si="3"/>
        <v>1122.0000000000002</v>
      </c>
      <c r="M49" t="s">
        <v>83</v>
      </c>
      <c r="N49" t="s">
        <v>80</v>
      </c>
      <c r="O49" t="s">
        <v>204</v>
      </c>
    </row>
    <row r="50" spans="1:15" x14ac:dyDescent="0.25">
      <c r="A50" t="s">
        <v>253</v>
      </c>
      <c r="B50" s="9">
        <v>45434</v>
      </c>
      <c r="C50" t="s">
        <v>143</v>
      </c>
      <c r="D50" t="s">
        <v>144</v>
      </c>
      <c r="E50" t="s">
        <v>26</v>
      </c>
      <c r="F50" t="s">
        <v>27</v>
      </c>
      <c r="G50" t="s">
        <v>20</v>
      </c>
      <c r="H50">
        <v>1800</v>
      </c>
      <c r="I50" s="3">
        <v>1.19</v>
      </c>
      <c r="J50" s="3">
        <f t="shared" si="2"/>
        <v>2142</v>
      </c>
      <c r="K50" s="3">
        <f>H50*VLOOKUP(E50,'Product Catalog'!A:F,6,FALSE)</f>
        <v>666</v>
      </c>
      <c r="L50" s="3">
        <f t="shared" si="3"/>
        <v>1476</v>
      </c>
      <c r="M50" t="s">
        <v>64</v>
      </c>
      <c r="N50" t="s">
        <v>60</v>
      </c>
      <c r="O50" t="s">
        <v>234</v>
      </c>
    </row>
    <row r="51" spans="1:15" x14ac:dyDescent="0.25">
      <c r="A51" t="s">
        <v>254</v>
      </c>
      <c r="B51" s="9">
        <v>45437</v>
      </c>
      <c r="C51" t="s">
        <v>147</v>
      </c>
      <c r="D51" t="s">
        <v>148</v>
      </c>
      <c r="E51" t="s">
        <v>33</v>
      </c>
      <c r="F51" t="s">
        <v>34</v>
      </c>
      <c r="G51" t="s">
        <v>35</v>
      </c>
      <c r="H51">
        <v>1250</v>
      </c>
      <c r="I51" s="3">
        <v>2.4900000000000002</v>
      </c>
      <c r="J51" s="3">
        <f t="shared" si="2"/>
        <v>3112.5000000000005</v>
      </c>
      <c r="K51" s="3">
        <f>H51*VLOOKUP(E51,'Product Catalog'!A:F,6,FALSE)</f>
        <v>1025</v>
      </c>
      <c r="L51" s="3">
        <f t="shared" si="3"/>
        <v>2087.5000000000005</v>
      </c>
      <c r="M51" t="s">
        <v>76</v>
      </c>
      <c r="N51" t="s">
        <v>74</v>
      </c>
      <c r="O51" t="s">
        <v>204</v>
      </c>
    </row>
    <row r="52" spans="1:15" x14ac:dyDescent="0.25">
      <c r="A52" t="s">
        <v>409</v>
      </c>
      <c r="B52" s="9">
        <v>45445</v>
      </c>
      <c r="C52" t="s">
        <v>91</v>
      </c>
      <c r="D52" t="s">
        <v>92</v>
      </c>
      <c r="E52" t="s">
        <v>29</v>
      </c>
      <c r="F52" t="s">
        <v>30</v>
      </c>
      <c r="G52" t="s">
        <v>31</v>
      </c>
      <c r="H52">
        <v>720</v>
      </c>
      <c r="I52" s="3">
        <v>2.99</v>
      </c>
      <c r="J52" s="3">
        <v>2152.8000000000002</v>
      </c>
      <c r="K52" s="3">
        <v>684</v>
      </c>
      <c r="L52" s="3">
        <v>1468.8</v>
      </c>
      <c r="M52" t="s">
        <v>90</v>
      </c>
      <c r="N52" t="s">
        <v>87</v>
      </c>
      <c r="O52" t="s">
        <v>204</v>
      </c>
    </row>
    <row r="53" spans="1:15" x14ac:dyDescent="0.25">
      <c r="A53" t="s">
        <v>410</v>
      </c>
      <c r="B53" s="9">
        <v>45448</v>
      </c>
      <c r="C53" t="s">
        <v>57</v>
      </c>
      <c r="D53" t="s">
        <v>58</v>
      </c>
      <c r="E53" t="s">
        <v>8</v>
      </c>
      <c r="F53" t="s">
        <v>9</v>
      </c>
      <c r="G53" t="s">
        <v>10</v>
      </c>
      <c r="H53">
        <v>1200</v>
      </c>
      <c r="I53" s="3">
        <v>1.29</v>
      </c>
      <c r="J53" s="3">
        <v>1548</v>
      </c>
      <c r="K53" s="3">
        <v>540</v>
      </c>
      <c r="L53" s="3">
        <v>1008</v>
      </c>
      <c r="M53" t="s">
        <v>64</v>
      </c>
      <c r="N53" t="s">
        <v>60</v>
      </c>
      <c r="O53" t="s">
        <v>204</v>
      </c>
    </row>
    <row r="54" spans="1:15" x14ac:dyDescent="0.25">
      <c r="A54" t="s">
        <v>411</v>
      </c>
      <c r="B54" s="9">
        <v>45451</v>
      </c>
      <c r="C54" t="s">
        <v>71</v>
      </c>
      <c r="D54" t="s">
        <v>72</v>
      </c>
      <c r="E54" t="s">
        <v>22</v>
      </c>
      <c r="F54" t="s">
        <v>19</v>
      </c>
      <c r="G54" t="s">
        <v>20</v>
      </c>
      <c r="H54">
        <v>1100</v>
      </c>
      <c r="I54" s="3">
        <v>2.79</v>
      </c>
      <c r="J54" s="3">
        <v>3069</v>
      </c>
      <c r="K54" s="3">
        <v>1012</v>
      </c>
      <c r="L54" s="3">
        <v>2057</v>
      </c>
      <c r="M54" t="s">
        <v>76</v>
      </c>
      <c r="N54" t="s">
        <v>74</v>
      </c>
      <c r="O54" t="s">
        <v>204</v>
      </c>
    </row>
    <row r="55" spans="1:15" x14ac:dyDescent="0.25">
      <c r="A55" t="s">
        <v>412</v>
      </c>
      <c r="B55" s="9">
        <v>45455</v>
      </c>
      <c r="C55" t="s">
        <v>96</v>
      </c>
      <c r="D55" t="s">
        <v>97</v>
      </c>
      <c r="E55" t="s">
        <v>42</v>
      </c>
      <c r="F55" t="s">
        <v>43</v>
      </c>
      <c r="G55" t="s">
        <v>44</v>
      </c>
      <c r="H55">
        <v>550</v>
      </c>
      <c r="I55" s="3">
        <v>1.99</v>
      </c>
      <c r="J55" s="3">
        <v>1094.5</v>
      </c>
      <c r="K55" s="3">
        <v>396</v>
      </c>
      <c r="L55" s="3">
        <v>698.5</v>
      </c>
      <c r="M55" t="s">
        <v>83</v>
      </c>
      <c r="N55" t="s">
        <v>80</v>
      </c>
      <c r="O55" t="s">
        <v>204</v>
      </c>
    </row>
    <row r="56" spans="1:15" x14ac:dyDescent="0.25">
      <c r="A56" t="s">
        <v>413</v>
      </c>
      <c r="B56" s="9">
        <v>45458</v>
      </c>
      <c r="C56" t="s">
        <v>120</v>
      </c>
      <c r="D56" t="s">
        <v>121</v>
      </c>
      <c r="E56" t="s">
        <v>18</v>
      </c>
      <c r="F56" t="s">
        <v>19</v>
      </c>
      <c r="G56" t="s">
        <v>20</v>
      </c>
      <c r="H56">
        <v>1800</v>
      </c>
      <c r="I56" s="3">
        <v>1.19</v>
      </c>
      <c r="J56" s="3">
        <v>2142</v>
      </c>
      <c r="K56" s="3">
        <v>684</v>
      </c>
      <c r="L56" s="3">
        <v>1458</v>
      </c>
      <c r="M56" t="s">
        <v>90</v>
      </c>
      <c r="N56" t="s">
        <v>87</v>
      </c>
      <c r="O56" t="s">
        <v>204</v>
      </c>
    </row>
    <row r="57" spans="1:15" x14ac:dyDescent="0.25">
      <c r="A57" t="s">
        <v>414</v>
      </c>
      <c r="B57" s="9">
        <v>45461</v>
      </c>
      <c r="C57" t="s">
        <v>65</v>
      </c>
      <c r="D57" t="s">
        <v>66</v>
      </c>
      <c r="E57" t="s">
        <v>14</v>
      </c>
      <c r="F57" t="s">
        <v>15</v>
      </c>
      <c r="G57" t="s">
        <v>16</v>
      </c>
      <c r="H57">
        <v>480</v>
      </c>
      <c r="I57" s="3">
        <v>1.49</v>
      </c>
      <c r="J57" s="3">
        <v>715.2</v>
      </c>
      <c r="K57" s="3">
        <v>249.6</v>
      </c>
      <c r="L57" s="3">
        <v>465.6</v>
      </c>
      <c r="M57" t="s">
        <v>64</v>
      </c>
      <c r="N57" t="s">
        <v>60</v>
      </c>
      <c r="O57" t="s">
        <v>204</v>
      </c>
    </row>
    <row r="58" spans="1:15" x14ac:dyDescent="0.25">
      <c r="A58" t="s">
        <v>415</v>
      </c>
      <c r="B58" s="9">
        <v>45465</v>
      </c>
      <c r="C58" t="s">
        <v>110</v>
      </c>
      <c r="D58" t="s">
        <v>111</v>
      </c>
      <c r="E58" t="s">
        <v>33</v>
      </c>
      <c r="F58" t="s">
        <v>34</v>
      </c>
      <c r="G58" t="s">
        <v>35</v>
      </c>
      <c r="H58">
        <v>980</v>
      </c>
      <c r="I58" s="3">
        <v>2.4900000000000002</v>
      </c>
      <c r="J58" s="3">
        <v>2440.1999999999998</v>
      </c>
      <c r="K58" s="3">
        <v>803.6</v>
      </c>
      <c r="L58" s="3">
        <v>1636.6</v>
      </c>
      <c r="M58" t="s">
        <v>76</v>
      </c>
      <c r="N58" t="s">
        <v>74</v>
      </c>
      <c r="O58" t="s">
        <v>204</v>
      </c>
    </row>
    <row r="59" spans="1:15" x14ac:dyDescent="0.25">
      <c r="A59" t="s">
        <v>416</v>
      </c>
      <c r="B59" s="9">
        <v>45468</v>
      </c>
      <c r="C59" t="s">
        <v>134</v>
      </c>
      <c r="D59" t="s">
        <v>135</v>
      </c>
      <c r="E59" t="s">
        <v>37</v>
      </c>
      <c r="F59" t="s">
        <v>38</v>
      </c>
      <c r="G59" t="s">
        <v>39</v>
      </c>
      <c r="H59">
        <v>620</v>
      </c>
      <c r="I59" s="3">
        <v>1.79</v>
      </c>
      <c r="J59" s="3">
        <v>1109.8</v>
      </c>
      <c r="K59" s="3">
        <v>359.6</v>
      </c>
      <c r="L59" s="3">
        <v>750.2</v>
      </c>
      <c r="M59" t="s">
        <v>83</v>
      </c>
      <c r="N59" t="s">
        <v>80</v>
      </c>
      <c r="O59" t="s">
        <v>204</v>
      </c>
    </row>
    <row r="60" spans="1:15" x14ac:dyDescent="0.25">
      <c r="A60" t="s">
        <v>417</v>
      </c>
      <c r="B60" s="9">
        <v>45471</v>
      </c>
      <c r="C60" t="s">
        <v>155</v>
      </c>
      <c r="D60" t="s">
        <v>156</v>
      </c>
      <c r="E60" t="s">
        <v>32</v>
      </c>
      <c r="F60" t="s">
        <v>30</v>
      </c>
      <c r="G60" t="s">
        <v>31</v>
      </c>
      <c r="H60">
        <v>650</v>
      </c>
      <c r="I60" s="3">
        <v>3.99</v>
      </c>
      <c r="J60" s="3">
        <v>2593.5</v>
      </c>
      <c r="K60" s="3">
        <v>832</v>
      </c>
      <c r="L60" s="3">
        <v>1761.5</v>
      </c>
      <c r="M60" t="s">
        <v>90</v>
      </c>
      <c r="N60" t="s">
        <v>87</v>
      </c>
      <c r="O60" t="s">
        <v>234</v>
      </c>
    </row>
    <row r="61" spans="1:15" x14ac:dyDescent="0.25">
      <c r="A61" t="s">
        <v>418</v>
      </c>
      <c r="B61" s="9">
        <v>45475</v>
      </c>
      <c r="C61" t="s">
        <v>143</v>
      </c>
      <c r="D61" t="s">
        <v>144</v>
      </c>
      <c r="E61" t="s">
        <v>21</v>
      </c>
      <c r="F61" t="s">
        <v>19</v>
      </c>
      <c r="G61" t="s">
        <v>20</v>
      </c>
      <c r="H61">
        <v>2200</v>
      </c>
      <c r="I61" s="3">
        <v>1.49</v>
      </c>
      <c r="J61" s="3">
        <v>3278</v>
      </c>
      <c r="K61" s="3">
        <v>1056</v>
      </c>
      <c r="L61" s="3">
        <v>2222</v>
      </c>
      <c r="M61" t="s">
        <v>64</v>
      </c>
      <c r="N61" t="s">
        <v>60</v>
      </c>
      <c r="O61" t="s">
        <v>204</v>
      </c>
    </row>
    <row r="62" spans="1:15" x14ac:dyDescent="0.25">
      <c r="A62" t="s">
        <v>419</v>
      </c>
      <c r="B62" s="9">
        <v>45478</v>
      </c>
      <c r="C62" t="s">
        <v>147</v>
      </c>
      <c r="D62" t="s">
        <v>148</v>
      </c>
      <c r="E62" t="s">
        <v>36</v>
      </c>
      <c r="F62" t="s">
        <v>34</v>
      </c>
      <c r="G62" t="s">
        <v>35</v>
      </c>
      <c r="H62">
        <v>1400</v>
      </c>
      <c r="I62" s="3">
        <v>3.49</v>
      </c>
      <c r="J62" s="3">
        <v>4886</v>
      </c>
      <c r="K62" s="3">
        <v>1610</v>
      </c>
      <c r="L62" s="3">
        <v>3276</v>
      </c>
      <c r="M62" t="s">
        <v>76</v>
      </c>
      <c r="N62" t="s">
        <v>74</v>
      </c>
      <c r="O62" t="s">
        <v>204</v>
      </c>
    </row>
    <row r="63" spans="1:15" x14ac:dyDescent="0.25">
      <c r="A63" t="s">
        <v>420</v>
      </c>
      <c r="B63" s="9">
        <v>45481</v>
      </c>
      <c r="C63" t="s">
        <v>77</v>
      </c>
      <c r="D63" t="s">
        <v>78</v>
      </c>
      <c r="E63" t="s">
        <v>12</v>
      </c>
      <c r="F63" t="s">
        <v>9</v>
      </c>
      <c r="G63" t="s">
        <v>10</v>
      </c>
      <c r="H63">
        <v>850</v>
      </c>
      <c r="I63" s="3">
        <v>1.99</v>
      </c>
      <c r="J63" s="3">
        <v>1691.5</v>
      </c>
      <c r="K63" s="3">
        <v>612</v>
      </c>
      <c r="L63" s="3">
        <v>1079.5</v>
      </c>
      <c r="M63" t="s">
        <v>83</v>
      </c>
      <c r="N63" t="s">
        <v>80</v>
      </c>
      <c r="O63" t="s">
        <v>204</v>
      </c>
    </row>
    <row r="64" spans="1:15" x14ac:dyDescent="0.25">
      <c r="A64" t="s">
        <v>421</v>
      </c>
      <c r="B64" s="9">
        <v>45485</v>
      </c>
      <c r="C64" t="s">
        <v>84</v>
      </c>
      <c r="D64" t="s">
        <v>85</v>
      </c>
      <c r="E64" t="s">
        <v>29</v>
      </c>
      <c r="F64" t="s">
        <v>30</v>
      </c>
      <c r="G64" t="s">
        <v>31</v>
      </c>
      <c r="H64">
        <v>920</v>
      </c>
      <c r="I64" s="3">
        <v>2.99</v>
      </c>
      <c r="J64" s="3">
        <v>2750.8</v>
      </c>
      <c r="K64" s="3">
        <v>874</v>
      </c>
      <c r="L64" s="3">
        <v>1876.8</v>
      </c>
      <c r="M64" t="s">
        <v>90</v>
      </c>
      <c r="N64" t="s">
        <v>87</v>
      </c>
      <c r="O64" t="s">
        <v>204</v>
      </c>
    </row>
    <row r="65" spans="1:15" x14ac:dyDescent="0.25">
      <c r="A65" t="s">
        <v>422</v>
      </c>
      <c r="B65" s="9">
        <v>45488</v>
      </c>
      <c r="C65" t="s">
        <v>106</v>
      </c>
      <c r="D65" t="s">
        <v>107</v>
      </c>
      <c r="E65" t="s">
        <v>23</v>
      </c>
      <c r="F65" t="s">
        <v>24</v>
      </c>
      <c r="G65" t="s">
        <v>20</v>
      </c>
      <c r="H65">
        <v>680</v>
      </c>
      <c r="I65" s="3">
        <v>1.19</v>
      </c>
      <c r="J65" s="3">
        <v>809.2</v>
      </c>
      <c r="K65" s="3">
        <v>265.2</v>
      </c>
      <c r="L65" s="3">
        <v>544</v>
      </c>
      <c r="M65" t="s">
        <v>64</v>
      </c>
      <c r="N65" t="s">
        <v>60</v>
      </c>
      <c r="O65" t="s">
        <v>204</v>
      </c>
    </row>
    <row r="66" spans="1:15" x14ac:dyDescent="0.25">
      <c r="A66" t="s">
        <v>423</v>
      </c>
      <c r="B66" s="9">
        <v>45491</v>
      </c>
      <c r="C66" t="s">
        <v>129</v>
      </c>
      <c r="D66" t="s">
        <v>130</v>
      </c>
      <c r="E66" t="s">
        <v>8</v>
      </c>
      <c r="F66" t="s">
        <v>9</v>
      </c>
      <c r="G66" t="s">
        <v>10</v>
      </c>
      <c r="H66">
        <v>1500</v>
      </c>
      <c r="I66" s="3">
        <v>1.29</v>
      </c>
      <c r="J66" s="3">
        <v>1935</v>
      </c>
      <c r="K66" s="3">
        <v>675</v>
      </c>
      <c r="L66" s="3">
        <v>1260</v>
      </c>
      <c r="M66" t="s">
        <v>76</v>
      </c>
      <c r="N66" t="s">
        <v>74</v>
      </c>
      <c r="O66" t="s">
        <v>204</v>
      </c>
    </row>
    <row r="67" spans="1:15" x14ac:dyDescent="0.25">
      <c r="A67" t="s">
        <v>424</v>
      </c>
      <c r="B67" s="9">
        <v>45495</v>
      </c>
      <c r="C67" t="s">
        <v>115</v>
      </c>
      <c r="D67" t="s">
        <v>116</v>
      </c>
      <c r="E67" t="s">
        <v>40</v>
      </c>
      <c r="F67" t="s">
        <v>41</v>
      </c>
      <c r="G67" t="s">
        <v>39</v>
      </c>
      <c r="H67">
        <v>420</v>
      </c>
      <c r="I67" s="3">
        <v>1.79</v>
      </c>
      <c r="J67" s="3">
        <v>751.8</v>
      </c>
      <c r="K67" s="3">
        <v>247.8</v>
      </c>
      <c r="L67" s="3">
        <v>504</v>
      </c>
      <c r="M67" t="s">
        <v>83</v>
      </c>
      <c r="N67" t="s">
        <v>80</v>
      </c>
      <c r="O67" t="s">
        <v>204</v>
      </c>
    </row>
    <row r="68" spans="1:15" x14ac:dyDescent="0.25">
      <c r="A68" t="s">
        <v>425</v>
      </c>
      <c r="B68" s="9">
        <v>45498</v>
      </c>
      <c r="C68" t="s">
        <v>139</v>
      </c>
      <c r="D68" t="s">
        <v>140</v>
      </c>
      <c r="E68" t="s">
        <v>33</v>
      </c>
      <c r="F68" t="s">
        <v>34</v>
      </c>
      <c r="G68" t="s">
        <v>35</v>
      </c>
      <c r="H68">
        <v>780</v>
      </c>
      <c r="I68" s="3">
        <v>2.4900000000000002</v>
      </c>
      <c r="J68" s="3">
        <v>1942.2</v>
      </c>
      <c r="K68" s="3">
        <v>639.6</v>
      </c>
      <c r="L68" s="3">
        <v>1302.5999999999999</v>
      </c>
      <c r="M68" t="s">
        <v>90</v>
      </c>
      <c r="N68" t="s">
        <v>87</v>
      </c>
      <c r="O68" t="s">
        <v>204</v>
      </c>
    </row>
    <row r="69" spans="1:15" x14ac:dyDescent="0.25">
      <c r="A69" t="s">
        <v>426</v>
      </c>
      <c r="B69" s="9">
        <v>45501</v>
      </c>
      <c r="C69" t="s">
        <v>124</v>
      </c>
      <c r="D69" t="s">
        <v>125</v>
      </c>
      <c r="E69" t="s">
        <v>17</v>
      </c>
      <c r="F69" t="s">
        <v>15</v>
      </c>
      <c r="G69" t="s">
        <v>16</v>
      </c>
      <c r="H69">
        <v>520</v>
      </c>
      <c r="I69" s="3">
        <v>2.29</v>
      </c>
      <c r="J69" s="3">
        <v>1190.8</v>
      </c>
      <c r="K69" s="3">
        <v>421.2</v>
      </c>
      <c r="L69" s="3">
        <v>769.6</v>
      </c>
      <c r="M69" t="s">
        <v>64</v>
      </c>
      <c r="N69" t="s">
        <v>60</v>
      </c>
      <c r="O69" t="s">
        <v>204</v>
      </c>
    </row>
    <row r="70" spans="1:15" x14ac:dyDescent="0.25">
      <c r="A70" t="s">
        <v>427</v>
      </c>
      <c r="B70" s="9">
        <v>45505</v>
      </c>
      <c r="C70" t="s">
        <v>102</v>
      </c>
      <c r="D70" t="s">
        <v>103</v>
      </c>
      <c r="E70" t="s">
        <v>18</v>
      </c>
      <c r="F70" t="s">
        <v>19</v>
      </c>
      <c r="G70" t="s">
        <v>20</v>
      </c>
      <c r="H70">
        <v>1650</v>
      </c>
      <c r="I70" s="3">
        <v>1.19</v>
      </c>
      <c r="J70" s="3">
        <v>1963.5</v>
      </c>
      <c r="K70" s="3">
        <v>627</v>
      </c>
      <c r="L70" s="3">
        <v>1336.5</v>
      </c>
      <c r="M70" t="s">
        <v>76</v>
      </c>
      <c r="N70" t="s">
        <v>74</v>
      </c>
      <c r="O70" t="s">
        <v>204</v>
      </c>
    </row>
    <row r="71" spans="1:15" x14ac:dyDescent="0.25">
      <c r="A71" t="s">
        <v>428</v>
      </c>
      <c r="B71" s="9">
        <v>45509</v>
      </c>
      <c r="C71" t="s">
        <v>151</v>
      </c>
      <c r="D71" t="s">
        <v>152</v>
      </c>
      <c r="E71" t="s">
        <v>13</v>
      </c>
      <c r="F71" t="s">
        <v>9</v>
      </c>
      <c r="G71" t="s">
        <v>10</v>
      </c>
      <c r="H71">
        <v>920</v>
      </c>
      <c r="I71" s="3">
        <v>2.4900000000000002</v>
      </c>
      <c r="J71" s="3">
        <v>2290.8000000000002</v>
      </c>
      <c r="K71" s="3">
        <v>818.8</v>
      </c>
      <c r="L71" s="3">
        <v>1472</v>
      </c>
      <c r="M71" t="s">
        <v>83</v>
      </c>
      <c r="N71" t="s">
        <v>80</v>
      </c>
      <c r="O71" t="s">
        <v>204</v>
      </c>
    </row>
    <row r="72" spans="1:15" x14ac:dyDescent="0.25">
      <c r="A72" t="s">
        <v>429</v>
      </c>
      <c r="B72" s="9">
        <v>45512</v>
      </c>
      <c r="C72" t="s">
        <v>57</v>
      </c>
      <c r="D72" t="s">
        <v>58</v>
      </c>
      <c r="E72" t="s">
        <v>25</v>
      </c>
      <c r="F72" t="s">
        <v>24</v>
      </c>
      <c r="G72" t="s">
        <v>20</v>
      </c>
      <c r="H72">
        <v>1100</v>
      </c>
      <c r="I72" s="3">
        <v>1.49</v>
      </c>
      <c r="J72" s="3">
        <v>1639</v>
      </c>
      <c r="K72" s="3">
        <v>539</v>
      </c>
      <c r="L72" s="3">
        <v>1100</v>
      </c>
      <c r="M72" t="s">
        <v>64</v>
      </c>
      <c r="N72" t="s">
        <v>60</v>
      </c>
      <c r="O72" t="s">
        <v>204</v>
      </c>
    </row>
    <row r="73" spans="1:15" x14ac:dyDescent="0.25">
      <c r="A73" t="s">
        <v>430</v>
      </c>
      <c r="B73" s="9">
        <v>45516</v>
      </c>
      <c r="C73" t="s">
        <v>91</v>
      </c>
      <c r="D73" t="s">
        <v>92</v>
      </c>
      <c r="E73" t="s">
        <v>36</v>
      </c>
      <c r="F73" t="s">
        <v>34</v>
      </c>
      <c r="G73" t="s">
        <v>35</v>
      </c>
      <c r="H73">
        <v>680</v>
      </c>
      <c r="I73" s="3">
        <v>3.49</v>
      </c>
      <c r="J73" s="3">
        <v>2373.1999999999998</v>
      </c>
      <c r="K73" s="3">
        <v>782</v>
      </c>
      <c r="L73" s="3">
        <v>1591.2</v>
      </c>
      <c r="M73" t="s">
        <v>90</v>
      </c>
      <c r="N73" t="s">
        <v>87</v>
      </c>
      <c r="O73" t="s">
        <v>204</v>
      </c>
    </row>
    <row r="74" spans="1:15" x14ac:dyDescent="0.25">
      <c r="A74" t="s">
        <v>431</v>
      </c>
      <c r="B74" s="9">
        <v>45519</v>
      </c>
      <c r="C74" t="s">
        <v>71</v>
      </c>
      <c r="D74" t="s">
        <v>72</v>
      </c>
      <c r="E74" t="s">
        <v>45</v>
      </c>
      <c r="F74" t="s">
        <v>46</v>
      </c>
      <c r="G74" t="s">
        <v>44</v>
      </c>
      <c r="H74">
        <v>750</v>
      </c>
      <c r="I74" s="3">
        <v>1.99</v>
      </c>
      <c r="J74" s="3">
        <v>1492.5</v>
      </c>
      <c r="K74" s="3">
        <v>555</v>
      </c>
      <c r="L74" s="3">
        <v>937.5</v>
      </c>
      <c r="M74" t="s">
        <v>76</v>
      </c>
      <c r="N74" t="s">
        <v>74</v>
      </c>
      <c r="O74" t="s">
        <v>204</v>
      </c>
    </row>
    <row r="75" spans="1:15" x14ac:dyDescent="0.25">
      <c r="A75" t="s">
        <v>432</v>
      </c>
      <c r="B75" s="9">
        <v>45522</v>
      </c>
      <c r="C75" t="s">
        <v>96</v>
      </c>
      <c r="D75" t="s">
        <v>97</v>
      </c>
      <c r="E75" t="s">
        <v>14</v>
      </c>
      <c r="F75" t="s">
        <v>15</v>
      </c>
      <c r="G75" t="s">
        <v>16</v>
      </c>
      <c r="H75">
        <v>580</v>
      </c>
      <c r="I75" s="3">
        <v>1.49</v>
      </c>
      <c r="J75" s="3">
        <v>864.2</v>
      </c>
      <c r="K75" s="3">
        <v>301.60000000000002</v>
      </c>
      <c r="L75" s="3">
        <v>562.6</v>
      </c>
      <c r="M75" t="s">
        <v>83</v>
      </c>
      <c r="N75" t="s">
        <v>80</v>
      </c>
      <c r="O75" t="s">
        <v>204</v>
      </c>
    </row>
    <row r="76" spans="1:15" x14ac:dyDescent="0.25">
      <c r="A76" t="s">
        <v>433</v>
      </c>
      <c r="B76" s="9">
        <v>45526</v>
      </c>
      <c r="C76" t="s">
        <v>120</v>
      </c>
      <c r="D76" t="s">
        <v>121</v>
      </c>
      <c r="E76" t="s">
        <v>22</v>
      </c>
      <c r="F76" t="s">
        <v>19</v>
      </c>
      <c r="G76" t="s">
        <v>20</v>
      </c>
      <c r="H76">
        <v>1900</v>
      </c>
      <c r="I76" s="3">
        <v>2.79</v>
      </c>
      <c r="J76" s="3">
        <v>5301</v>
      </c>
      <c r="K76" s="3">
        <v>1748</v>
      </c>
      <c r="L76" s="3">
        <v>3553</v>
      </c>
      <c r="M76" t="s">
        <v>90</v>
      </c>
      <c r="N76" t="s">
        <v>87</v>
      </c>
      <c r="O76" t="s">
        <v>204</v>
      </c>
    </row>
    <row r="77" spans="1:15" x14ac:dyDescent="0.25">
      <c r="A77" t="s">
        <v>434</v>
      </c>
      <c r="B77" s="9">
        <v>45529</v>
      </c>
      <c r="C77" t="s">
        <v>65</v>
      </c>
      <c r="D77" t="s">
        <v>66</v>
      </c>
      <c r="E77" t="s">
        <v>29</v>
      </c>
      <c r="F77" t="s">
        <v>30</v>
      </c>
      <c r="G77" t="s">
        <v>31</v>
      </c>
      <c r="H77">
        <v>480</v>
      </c>
      <c r="I77" s="3">
        <v>2.99</v>
      </c>
      <c r="J77" s="3">
        <v>1435.2</v>
      </c>
      <c r="K77" s="3">
        <v>456</v>
      </c>
      <c r="L77" s="3">
        <v>979.2</v>
      </c>
      <c r="M77" t="s">
        <v>64</v>
      </c>
      <c r="N77" t="s">
        <v>60</v>
      </c>
      <c r="O77" t="s">
        <v>204</v>
      </c>
    </row>
    <row r="78" spans="1:15" x14ac:dyDescent="0.25">
      <c r="A78" t="s">
        <v>435</v>
      </c>
      <c r="B78" s="9">
        <v>45532</v>
      </c>
      <c r="C78" t="s">
        <v>110</v>
      </c>
      <c r="D78" t="s">
        <v>111</v>
      </c>
      <c r="E78" t="s">
        <v>8</v>
      </c>
      <c r="F78" t="s">
        <v>9</v>
      </c>
      <c r="G78" t="s">
        <v>10</v>
      </c>
      <c r="H78">
        <v>1350</v>
      </c>
      <c r="I78" s="3">
        <v>1.29</v>
      </c>
      <c r="J78" s="3">
        <v>1741.5</v>
      </c>
      <c r="K78" s="3">
        <v>607.5</v>
      </c>
      <c r="L78" s="3">
        <v>1134</v>
      </c>
      <c r="M78" t="s">
        <v>76</v>
      </c>
      <c r="N78" t="s">
        <v>74</v>
      </c>
      <c r="O78" t="s">
        <v>234</v>
      </c>
    </row>
    <row r="79" spans="1:15" x14ac:dyDescent="0.25">
      <c r="A79" t="s">
        <v>436</v>
      </c>
      <c r="B79" s="9">
        <v>45537</v>
      </c>
      <c r="C79" t="s">
        <v>134</v>
      </c>
      <c r="D79" t="s">
        <v>135</v>
      </c>
      <c r="E79" t="s">
        <v>21</v>
      </c>
      <c r="F79" t="s">
        <v>19</v>
      </c>
      <c r="G79" t="s">
        <v>20</v>
      </c>
      <c r="H79">
        <v>1200</v>
      </c>
      <c r="I79" s="3">
        <v>1.49</v>
      </c>
      <c r="J79" s="3">
        <v>1788</v>
      </c>
      <c r="K79" s="3">
        <v>576</v>
      </c>
      <c r="L79" s="3">
        <v>1212</v>
      </c>
      <c r="M79" t="s">
        <v>83</v>
      </c>
      <c r="N79" t="s">
        <v>80</v>
      </c>
      <c r="O79" t="s">
        <v>204</v>
      </c>
    </row>
    <row r="80" spans="1:15" x14ac:dyDescent="0.25">
      <c r="A80" t="s">
        <v>437</v>
      </c>
      <c r="B80" s="9">
        <v>45540</v>
      </c>
      <c r="C80" t="s">
        <v>155</v>
      </c>
      <c r="D80" t="s">
        <v>156</v>
      </c>
      <c r="E80" t="s">
        <v>33</v>
      </c>
      <c r="F80" t="s">
        <v>34</v>
      </c>
      <c r="G80" t="s">
        <v>35</v>
      </c>
      <c r="H80">
        <v>1100</v>
      </c>
      <c r="I80" s="3">
        <v>2.4900000000000002</v>
      </c>
      <c r="J80" s="3">
        <v>2739</v>
      </c>
      <c r="K80" s="3">
        <v>902</v>
      </c>
      <c r="L80" s="3">
        <v>1837</v>
      </c>
      <c r="M80" t="s">
        <v>90</v>
      </c>
      <c r="N80" t="s">
        <v>87</v>
      </c>
      <c r="O80" t="s">
        <v>204</v>
      </c>
    </row>
    <row r="81" spans="1:15" x14ac:dyDescent="0.25">
      <c r="A81" t="s">
        <v>438</v>
      </c>
      <c r="B81" s="9">
        <v>45543</v>
      </c>
      <c r="C81" t="s">
        <v>143</v>
      </c>
      <c r="D81" t="s">
        <v>144</v>
      </c>
      <c r="E81" t="s">
        <v>26</v>
      </c>
      <c r="F81" t="s">
        <v>27</v>
      </c>
      <c r="G81" t="s">
        <v>20</v>
      </c>
      <c r="H81">
        <v>1800</v>
      </c>
      <c r="I81" s="3">
        <v>1.19</v>
      </c>
      <c r="J81" s="3">
        <v>2142</v>
      </c>
      <c r="K81" s="3">
        <v>666</v>
      </c>
      <c r="L81" s="3">
        <v>1476</v>
      </c>
      <c r="M81" t="s">
        <v>64</v>
      </c>
      <c r="N81" t="s">
        <v>60</v>
      </c>
      <c r="O81" t="s">
        <v>204</v>
      </c>
    </row>
    <row r="82" spans="1:15" x14ac:dyDescent="0.25">
      <c r="A82" t="s">
        <v>439</v>
      </c>
      <c r="B82" s="9">
        <v>45547</v>
      </c>
      <c r="C82" t="s">
        <v>147</v>
      </c>
      <c r="D82" t="s">
        <v>148</v>
      </c>
      <c r="E82" t="s">
        <v>32</v>
      </c>
      <c r="F82" t="s">
        <v>30</v>
      </c>
      <c r="G82" t="s">
        <v>31</v>
      </c>
      <c r="H82">
        <v>820</v>
      </c>
      <c r="I82" s="3">
        <v>3.99</v>
      </c>
      <c r="J82" s="3">
        <v>3271.8</v>
      </c>
      <c r="K82" s="3">
        <v>1049.5999999999999</v>
      </c>
      <c r="L82" s="3">
        <v>2222.1999999999998</v>
      </c>
      <c r="M82" t="s">
        <v>76</v>
      </c>
      <c r="N82" t="s">
        <v>74</v>
      </c>
      <c r="O82" t="s">
        <v>204</v>
      </c>
    </row>
    <row r="83" spans="1:15" x14ac:dyDescent="0.25">
      <c r="A83" t="s">
        <v>440</v>
      </c>
      <c r="B83" s="9">
        <v>45550</v>
      </c>
      <c r="C83" t="s">
        <v>77</v>
      </c>
      <c r="D83" t="s">
        <v>78</v>
      </c>
      <c r="E83" t="s">
        <v>37</v>
      </c>
      <c r="F83" t="s">
        <v>38</v>
      </c>
      <c r="G83" t="s">
        <v>39</v>
      </c>
      <c r="H83">
        <v>540</v>
      </c>
      <c r="I83" s="3">
        <v>1.79</v>
      </c>
      <c r="J83" s="3">
        <v>966.6</v>
      </c>
      <c r="K83" s="3">
        <v>313.2</v>
      </c>
      <c r="L83" s="3">
        <v>653.4</v>
      </c>
      <c r="M83" t="s">
        <v>83</v>
      </c>
      <c r="N83" t="s">
        <v>80</v>
      </c>
      <c r="O83" t="s">
        <v>204</v>
      </c>
    </row>
    <row r="84" spans="1:15" x14ac:dyDescent="0.25">
      <c r="A84" t="s">
        <v>441</v>
      </c>
      <c r="B84" s="9">
        <v>45553</v>
      </c>
      <c r="C84" t="s">
        <v>84</v>
      </c>
      <c r="D84" t="s">
        <v>85</v>
      </c>
      <c r="E84" t="s">
        <v>36</v>
      </c>
      <c r="F84" t="s">
        <v>34</v>
      </c>
      <c r="G84" t="s">
        <v>35</v>
      </c>
      <c r="H84">
        <v>950</v>
      </c>
      <c r="I84" s="3">
        <v>3.49</v>
      </c>
      <c r="J84" s="3">
        <v>3315.5</v>
      </c>
      <c r="K84" s="3">
        <v>1092.5</v>
      </c>
      <c r="L84" s="3">
        <v>2223</v>
      </c>
      <c r="M84" t="s">
        <v>90</v>
      </c>
      <c r="N84" t="s">
        <v>87</v>
      </c>
      <c r="O84" t="s">
        <v>204</v>
      </c>
    </row>
    <row r="85" spans="1:15" x14ac:dyDescent="0.25">
      <c r="A85" t="s">
        <v>442</v>
      </c>
      <c r="B85" s="9">
        <v>45557</v>
      </c>
      <c r="C85" t="s">
        <v>106</v>
      </c>
      <c r="D85" t="s">
        <v>107</v>
      </c>
      <c r="E85" t="s">
        <v>18</v>
      </c>
      <c r="F85" t="s">
        <v>19</v>
      </c>
      <c r="G85" t="s">
        <v>20</v>
      </c>
      <c r="H85">
        <v>720</v>
      </c>
      <c r="I85" s="3">
        <v>1.19</v>
      </c>
      <c r="J85" s="3">
        <v>856.8</v>
      </c>
      <c r="K85" s="3">
        <v>273.60000000000002</v>
      </c>
      <c r="L85" s="3">
        <v>583.20000000000005</v>
      </c>
      <c r="M85" t="s">
        <v>64</v>
      </c>
      <c r="N85" t="s">
        <v>60</v>
      </c>
      <c r="O85" t="s">
        <v>204</v>
      </c>
    </row>
    <row r="86" spans="1:15" x14ac:dyDescent="0.25">
      <c r="A86" t="s">
        <v>443</v>
      </c>
      <c r="B86" s="9">
        <v>45560</v>
      </c>
      <c r="C86" t="s">
        <v>129</v>
      </c>
      <c r="D86" t="s">
        <v>130</v>
      </c>
      <c r="E86" t="s">
        <v>42</v>
      </c>
      <c r="F86" t="s">
        <v>43</v>
      </c>
      <c r="G86" t="s">
        <v>44</v>
      </c>
      <c r="H86">
        <v>680</v>
      </c>
      <c r="I86" s="3">
        <v>1.99</v>
      </c>
      <c r="J86" s="3">
        <v>1353.2</v>
      </c>
      <c r="K86" s="3">
        <v>489.6</v>
      </c>
      <c r="L86" s="3">
        <v>863.6</v>
      </c>
      <c r="M86" t="s">
        <v>76</v>
      </c>
      <c r="N86" t="s">
        <v>74</v>
      </c>
      <c r="O86" t="s">
        <v>204</v>
      </c>
    </row>
    <row r="87" spans="1:15" x14ac:dyDescent="0.25">
      <c r="A87" t="s">
        <v>444</v>
      </c>
      <c r="B87" s="9">
        <v>45563</v>
      </c>
      <c r="C87" t="s">
        <v>115</v>
      </c>
      <c r="D87" t="s">
        <v>116</v>
      </c>
      <c r="E87" t="s">
        <v>12</v>
      </c>
      <c r="F87" t="s">
        <v>9</v>
      </c>
      <c r="G87" t="s">
        <v>10</v>
      </c>
      <c r="H87">
        <v>620</v>
      </c>
      <c r="I87" s="3">
        <v>1.99</v>
      </c>
      <c r="J87" s="3">
        <v>1233.8</v>
      </c>
      <c r="K87" s="3">
        <v>446.4</v>
      </c>
      <c r="L87" s="3">
        <v>787.4</v>
      </c>
      <c r="M87" t="s">
        <v>83</v>
      </c>
      <c r="N87" t="s">
        <v>80</v>
      </c>
      <c r="O87" t="s">
        <v>204</v>
      </c>
    </row>
    <row r="88" spans="1:15" x14ac:dyDescent="0.25">
      <c r="A88" t="s">
        <v>445</v>
      </c>
      <c r="B88" s="9">
        <v>45567</v>
      </c>
      <c r="C88" t="s">
        <v>57</v>
      </c>
      <c r="D88" t="s">
        <v>58</v>
      </c>
      <c r="E88" t="s">
        <v>22</v>
      </c>
      <c r="F88" t="s">
        <v>19</v>
      </c>
      <c r="G88" t="s">
        <v>20</v>
      </c>
      <c r="H88">
        <v>1450</v>
      </c>
      <c r="I88" s="3">
        <v>2.79</v>
      </c>
      <c r="J88" s="3">
        <v>4045.5</v>
      </c>
      <c r="K88" s="3">
        <v>1334</v>
      </c>
      <c r="L88" s="3">
        <v>2711.5</v>
      </c>
      <c r="M88" t="s">
        <v>64</v>
      </c>
      <c r="N88" t="s">
        <v>60</v>
      </c>
      <c r="O88" t="s">
        <v>204</v>
      </c>
    </row>
    <row r="89" spans="1:15" x14ac:dyDescent="0.25">
      <c r="A89" t="s">
        <v>446</v>
      </c>
      <c r="B89" s="9">
        <v>45570</v>
      </c>
      <c r="C89" t="s">
        <v>71</v>
      </c>
      <c r="D89" t="s">
        <v>72</v>
      </c>
      <c r="E89" t="s">
        <v>33</v>
      </c>
      <c r="F89" t="s">
        <v>34</v>
      </c>
      <c r="G89" t="s">
        <v>35</v>
      </c>
      <c r="H89">
        <v>1050</v>
      </c>
      <c r="I89" s="3">
        <v>2.4900000000000002</v>
      </c>
      <c r="J89" s="3">
        <v>2614.5</v>
      </c>
      <c r="K89" s="3">
        <v>861</v>
      </c>
      <c r="L89" s="3">
        <v>1753.5</v>
      </c>
      <c r="M89" t="s">
        <v>76</v>
      </c>
      <c r="N89" t="s">
        <v>74</v>
      </c>
      <c r="O89" t="s">
        <v>204</v>
      </c>
    </row>
    <row r="90" spans="1:15" x14ac:dyDescent="0.25">
      <c r="A90" t="s">
        <v>447</v>
      </c>
      <c r="B90" s="9">
        <v>45573</v>
      </c>
      <c r="C90" t="s">
        <v>96</v>
      </c>
      <c r="D90" t="s">
        <v>97</v>
      </c>
      <c r="E90" t="s">
        <v>8</v>
      </c>
      <c r="F90" t="s">
        <v>9</v>
      </c>
      <c r="G90" t="s">
        <v>10</v>
      </c>
      <c r="H90">
        <v>980</v>
      </c>
      <c r="I90" s="3">
        <v>1.29</v>
      </c>
      <c r="J90" s="3">
        <v>1264.2</v>
      </c>
      <c r="K90" s="3">
        <v>441</v>
      </c>
      <c r="L90" s="3">
        <v>823.2</v>
      </c>
      <c r="M90" t="s">
        <v>83</v>
      </c>
      <c r="N90" t="s">
        <v>80</v>
      </c>
      <c r="O90" t="s">
        <v>204</v>
      </c>
    </row>
    <row r="91" spans="1:15" x14ac:dyDescent="0.25">
      <c r="A91" t="s">
        <v>448</v>
      </c>
      <c r="B91" s="9">
        <v>45577</v>
      </c>
      <c r="C91" t="s">
        <v>120</v>
      </c>
      <c r="D91" t="s">
        <v>121</v>
      </c>
      <c r="E91" t="s">
        <v>32</v>
      </c>
      <c r="F91" t="s">
        <v>30</v>
      </c>
      <c r="G91" t="s">
        <v>31</v>
      </c>
      <c r="H91">
        <v>750</v>
      </c>
      <c r="I91" s="3">
        <v>3.99</v>
      </c>
      <c r="J91" s="3">
        <v>2992.5</v>
      </c>
      <c r="K91" s="3">
        <v>960</v>
      </c>
      <c r="L91" s="3">
        <v>2032.5</v>
      </c>
      <c r="M91" t="s">
        <v>90</v>
      </c>
      <c r="N91" t="s">
        <v>87</v>
      </c>
      <c r="O91" t="s">
        <v>204</v>
      </c>
    </row>
    <row r="92" spans="1:15" x14ac:dyDescent="0.25">
      <c r="A92" t="s">
        <v>449</v>
      </c>
      <c r="B92" s="9">
        <v>45580</v>
      </c>
      <c r="C92" t="s">
        <v>65</v>
      </c>
      <c r="D92" t="s">
        <v>66</v>
      </c>
      <c r="E92" t="s">
        <v>21</v>
      </c>
      <c r="F92" t="s">
        <v>19</v>
      </c>
      <c r="G92" t="s">
        <v>20</v>
      </c>
      <c r="H92">
        <v>620</v>
      </c>
      <c r="I92" s="3">
        <v>1.49</v>
      </c>
      <c r="J92" s="3">
        <v>923.8</v>
      </c>
      <c r="K92" s="3">
        <v>297.60000000000002</v>
      </c>
      <c r="L92" s="3">
        <v>626.20000000000005</v>
      </c>
      <c r="M92" t="s">
        <v>64</v>
      </c>
      <c r="N92" t="s">
        <v>60</v>
      </c>
      <c r="O92" t="s">
        <v>204</v>
      </c>
    </row>
    <row r="93" spans="1:15" x14ac:dyDescent="0.25">
      <c r="A93" t="s">
        <v>450</v>
      </c>
      <c r="B93" s="9">
        <v>45583</v>
      </c>
      <c r="C93" t="s">
        <v>110</v>
      </c>
      <c r="D93" t="s">
        <v>111</v>
      </c>
      <c r="E93" t="s">
        <v>17</v>
      </c>
      <c r="F93" t="s">
        <v>15</v>
      </c>
      <c r="G93" t="s">
        <v>16</v>
      </c>
      <c r="H93">
        <v>880</v>
      </c>
      <c r="I93" s="3">
        <v>2.29</v>
      </c>
      <c r="J93" s="3">
        <v>2015.2</v>
      </c>
      <c r="K93" s="3">
        <v>712.8</v>
      </c>
      <c r="L93" s="3">
        <v>1302.4000000000001</v>
      </c>
      <c r="M93" t="s">
        <v>76</v>
      </c>
      <c r="N93" t="s">
        <v>74</v>
      </c>
      <c r="O93" t="s">
        <v>204</v>
      </c>
    </row>
    <row r="94" spans="1:15" x14ac:dyDescent="0.25">
      <c r="A94" t="s">
        <v>451</v>
      </c>
      <c r="B94" s="9">
        <v>45587</v>
      </c>
      <c r="C94" t="s">
        <v>134</v>
      </c>
      <c r="D94" t="s">
        <v>135</v>
      </c>
      <c r="E94" t="s">
        <v>29</v>
      </c>
      <c r="F94" t="s">
        <v>30</v>
      </c>
      <c r="G94" t="s">
        <v>31</v>
      </c>
      <c r="H94">
        <v>580</v>
      </c>
      <c r="I94" s="3">
        <v>2.99</v>
      </c>
      <c r="J94" s="3">
        <v>1734.2</v>
      </c>
      <c r="K94" s="3">
        <v>551</v>
      </c>
      <c r="L94" s="3">
        <v>1183.2</v>
      </c>
      <c r="M94" t="s">
        <v>83</v>
      </c>
      <c r="N94" t="s">
        <v>80</v>
      </c>
      <c r="O94" t="s">
        <v>204</v>
      </c>
    </row>
    <row r="95" spans="1:15" x14ac:dyDescent="0.25">
      <c r="A95" t="s">
        <v>452</v>
      </c>
      <c r="B95" s="9">
        <v>45590</v>
      </c>
      <c r="C95" t="s">
        <v>155</v>
      </c>
      <c r="D95" t="s">
        <v>156</v>
      </c>
      <c r="E95" t="s">
        <v>36</v>
      </c>
      <c r="F95" t="s">
        <v>34</v>
      </c>
      <c r="G95" t="s">
        <v>35</v>
      </c>
      <c r="H95">
        <v>920</v>
      </c>
      <c r="I95" s="3">
        <v>3.49</v>
      </c>
      <c r="J95" s="3">
        <v>3210.8</v>
      </c>
      <c r="K95" s="3">
        <v>1058</v>
      </c>
      <c r="L95" s="3">
        <v>2152.8000000000002</v>
      </c>
      <c r="M95" t="s">
        <v>90</v>
      </c>
      <c r="N95" t="s">
        <v>87</v>
      </c>
      <c r="O95" t="s">
        <v>204</v>
      </c>
    </row>
    <row r="96" spans="1:15" x14ac:dyDescent="0.25">
      <c r="A96" t="s">
        <v>453</v>
      </c>
      <c r="B96" s="9">
        <v>45593</v>
      </c>
      <c r="C96" t="s">
        <v>143</v>
      </c>
      <c r="D96" t="s">
        <v>144</v>
      </c>
      <c r="E96" t="s">
        <v>23</v>
      </c>
      <c r="F96" t="s">
        <v>24</v>
      </c>
      <c r="G96" t="s">
        <v>20</v>
      </c>
      <c r="H96">
        <v>1680</v>
      </c>
      <c r="I96" s="3">
        <v>1.19</v>
      </c>
      <c r="J96" s="3">
        <v>1999.2</v>
      </c>
      <c r="K96" s="3">
        <v>655.20000000000005</v>
      </c>
      <c r="L96" s="3">
        <v>1344</v>
      </c>
      <c r="M96" t="s">
        <v>64</v>
      </c>
      <c r="N96" t="s">
        <v>60</v>
      </c>
      <c r="O96" t="s">
        <v>204</v>
      </c>
    </row>
    <row r="97" spans="1:15" x14ac:dyDescent="0.25">
      <c r="A97" t="s">
        <v>454</v>
      </c>
      <c r="B97" s="9">
        <v>45595</v>
      </c>
      <c r="C97" t="s">
        <v>147</v>
      </c>
      <c r="D97" t="s">
        <v>148</v>
      </c>
      <c r="E97" t="s">
        <v>8</v>
      </c>
      <c r="F97" t="s">
        <v>9</v>
      </c>
      <c r="G97" t="s">
        <v>10</v>
      </c>
      <c r="H97">
        <v>1250</v>
      </c>
      <c r="I97" s="3">
        <v>1.29</v>
      </c>
      <c r="J97" s="3">
        <v>1612.5</v>
      </c>
      <c r="K97" s="3">
        <v>562.5</v>
      </c>
      <c r="L97" s="3">
        <v>1050</v>
      </c>
      <c r="M97" t="s">
        <v>76</v>
      </c>
      <c r="N97" t="s">
        <v>74</v>
      </c>
      <c r="O97" t="s">
        <v>234</v>
      </c>
    </row>
    <row r="98" spans="1:15" x14ac:dyDescent="0.25">
      <c r="A98" t="s">
        <v>455</v>
      </c>
      <c r="B98" s="9">
        <v>45598</v>
      </c>
      <c r="C98" t="s">
        <v>77</v>
      </c>
      <c r="D98" t="s">
        <v>78</v>
      </c>
      <c r="E98" t="s">
        <v>18</v>
      </c>
      <c r="F98" t="s">
        <v>19</v>
      </c>
      <c r="G98" t="s">
        <v>20</v>
      </c>
      <c r="H98">
        <v>890</v>
      </c>
      <c r="I98" s="3">
        <v>1.19</v>
      </c>
      <c r="J98" s="3">
        <v>1059.0999999999999</v>
      </c>
      <c r="K98" s="3">
        <v>338.2</v>
      </c>
      <c r="L98" s="3">
        <v>720.9</v>
      </c>
      <c r="M98" t="s">
        <v>83</v>
      </c>
      <c r="N98" t="s">
        <v>80</v>
      </c>
      <c r="O98" t="s">
        <v>204</v>
      </c>
    </row>
    <row r="99" spans="1:15" x14ac:dyDescent="0.25">
      <c r="A99" t="s">
        <v>456</v>
      </c>
      <c r="B99" s="9">
        <v>45601</v>
      </c>
      <c r="C99" t="s">
        <v>84</v>
      </c>
      <c r="D99" t="s">
        <v>85</v>
      </c>
      <c r="E99" t="s">
        <v>33</v>
      </c>
      <c r="F99" t="s">
        <v>34</v>
      </c>
      <c r="G99" t="s">
        <v>35</v>
      </c>
      <c r="H99">
        <v>1350</v>
      </c>
      <c r="I99" s="3">
        <v>2.4900000000000002</v>
      </c>
      <c r="J99" s="3">
        <v>3361.5</v>
      </c>
      <c r="K99" s="3">
        <v>1107</v>
      </c>
      <c r="L99" s="3">
        <v>2254.5</v>
      </c>
      <c r="M99" t="s">
        <v>90</v>
      </c>
      <c r="N99" t="s">
        <v>87</v>
      </c>
      <c r="O99" t="s">
        <v>204</v>
      </c>
    </row>
    <row r="100" spans="1:15" x14ac:dyDescent="0.25">
      <c r="A100" t="s">
        <v>457</v>
      </c>
      <c r="B100" s="9">
        <v>45604</v>
      </c>
      <c r="C100" t="s">
        <v>106</v>
      </c>
      <c r="D100" t="s">
        <v>107</v>
      </c>
      <c r="E100" t="s">
        <v>14</v>
      </c>
      <c r="F100" t="s">
        <v>15</v>
      </c>
      <c r="G100" t="s">
        <v>16</v>
      </c>
      <c r="H100">
        <v>520</v>
      </c>
      <c r="I100" s="3">
        <v>1.49</v>
      </c>
      <c r="J100" s="3">
        <v>774.8</v>
      </c>
      <c r="K100" s="3">
        <v>270.39999999999998</v>
      </c>
      <c r="L100" s="3">
        <v>504.4</v>
      </c>
      <c r="M100" t="s">
        <v>64</v>
      </c>
      <c r="N100" t="s">
        <v>60</v>
      </c>
      <c r="O100" t="s">
        <v>204</v>
      </c>
    </row>
    <row r="101" spans="1:15" x14ac:dyDescent="0.25">
      <c r="A101" t="s">
        <v>458</v>
      </c>
      <c r="B101" s="9">
        <v>45608</v>
      </c>
      <c r="C101" t="s">
        <v>129</v>
      </c>
      <c r="D101" t="s">
        <v>130</v>
      </c>
      <c r="E101" t="s">
        <v>37</v>
      </c>
      <c r="F101" t="s">
        <v>38</v>
      </c>
      <c r="G101" t="s">
        <v>39</v>
      </c>
      <c r="H101">
        <v>680</v>
      </c>
      <c r="I101" s="3">
        <v>1.79</v>
      </c>
      <c r="J101" s="3">
        <v>1217.2</v>
      </c>
      <c r="K101" s="3">
        <v>394.4</v>
      </c>
      <c r="L101" s="3">
        <v>822.8</v>
      </c>
      <c r="M101" t="s">
        <v>76</v>
      </c>
      <c r="N101" t="s">
        <v>74</v>
      </c>
      <c r="O101" t="s">
        <v>204</v>
      </c>
    </row>
    <row r="102" spans="1:15" x14ac:dyDescent="0.25">
      <c r="A102" t="s">
        <v>459</v>
      </c>
      <c r="B102" s="9">
        <v>45611</v>
      </c>
      <c r="C102" t="s">
        <v>115</v>
      </c>
      <c r="D102" t="s">
        <v>116</v>
      </c>
      <c r="E102" t="s">
        <v>25</v>
      </c>
      <c r="F102" t="s">
        <v>24</v>
      </c>
      <c r="G102" t="s">
        <v>20</v>
      </c>
      <c r="H102">
        <v>450</v>
      </c>
      <c r="I102" s="3">
        <v>1.49</v>
      </c>
      <c r="J102" s="3">
        <v>670.5</v>
      </c>
      <c r="K102" s="3">
        <v>220.5</v>
      </c>
      <c r="L102" s="3">
        <v>450</v>
      </c>
      <c r="M102" t="s">
        <v>83</v>
      </c>
      <c r="N102" t="s">
        <v>80</v>
      </c>
      <c r="O102" t="s">
        <v>204</v>
      </c>
    </row>
    <row r="103" spans="1:15" x14ac:dyDescent="0.25">
      <c r="A103" t="s">
        <v>460</v>
      </c>
      <c r="B103" s="9">
        <v>45614</v>
      </c>
      <c r="C103" t="s">
        <v>139</v>
      </c>
      <c r="D103" t="s">
        <v>140</v>
      </c>
      <c r="E103" t="s">
        <v>29</v>
      </c>
      <c r="F103" t="s">
        <v>30</v>
      </c>
      <c r="G103" t="s">
        <v>31</v>
      </c>
      <c r="H103">
        <v>620</v>
      </c>
      <c r="I103" s="3">
        <v>2.99</v>
      </c>
      <c r="J103" s="3">
        <v>1853.8</v>
      </c>
      <c r="K103" s="3">
        <v>589</v>
      </c>
      <c r="L103" s="3">
        <v>1264.8</v>
      </c>
      <c r="M103" t="s">
        <v>90</v>
      </c>
      <c r="N103" t="s">
        <v>87</v>
      </c>
      <c r="O103" t="s">
        <v>204</v>
      </c>
    </row>
    <row r="104" spans="1:15" x14ac:dyDescent="0.25">
      <c r="A104" t="s">
        <v>461</v>
      </c>
      <c r="B104" s="9">
        <v>45618</v>
      </c>
      <c r="C104" t="s">
        <v>124</v>
      </c>
      <c r="D104" t="s">
        <v>125</v>
      </c>
      <c r="E104" t="s">
        <v>12</v>
      </c>
      <c r="F104" t="s">
        <v>9</v>
      </c>
      <c r="G104" t="s">
        <v>10</v>
      </c>
      <c r="H104">
        <v>750</v>
      </c>
      <c r="I104" s="3">
        <v>1.99</v>
      </c>
      <c r="J104" s="3">
        <v>1492.5</v>
      </c>
      <c r="K104" s="3">
        <v>540</v>
      </c>
      <c r="L104" s="3">
        <v>952.5</v>
      </c>
      <c r="M104" t="s">
        <v>64</v>
      </c>
      <c r="N104" t="s">
        <v>60</v>
      </c>
      <c r="O104" t="s">
        <v>204</v>
      </c>
    </row>
    <row r="105" spans="1:15" x14ac:dyDescent="0.25">
      <c r="A105" t="s">
        <v>462</v>
      </c>
      <c r="B105" s="9">
        <v>45621</v>
      </c>
      <c r="C105" t="s">
        <v>102</v>
      </c>
      <c r="D105" t="s">
        <v>103</v>
      </c>
      <c r="E105" t="s">
        <v>45</v>
      </c>
      <c r="F105" t="s">
        <v>46</v>
      </c>
      <c r="G105" t="s">
        <v>44</v>
      </c>
      <c r="H105">
        <v>580</v>
      </c>
      <c r="I105" s="3">
        <v>1.99</v>
      </c>
      <c r="J105" s="3">
        <v>1154.2</v>
      </c>
      <c r="K105" s="3">
        <v>429.2</v>
      </c>
      <c r="L105" s="3">
        <v>725</v>
      </c>
      <c r="M105" t="s">
        <v>76</v>
      </c>
      <c r="N105" t="s">
        <v>74</v>
      </c>
      <c r="O105" t="s">
        <v>204</v>
      </c>
    </row>
    <row r="106" spans="1:15" x14ac:dyDescent="0.25">
      <c r="A106" t="s">
        <v>463</v>
      </c>
      <c r="B106" s="9">
        <v>45624</v>
      </c>
      <c r="C106" t="s">
        <v>151</v>
      </c>
      <c r="D106" t="s">
        <v>152</v>
      </c>
      <c r="E106" t="s">
        <v>40</v>
      </c>
      <c r="F106" t="s">
        <v>41</v>
      </c>
      <c r="G106" t="s">
        <v>39</v>
      </c>
      <c r="H106">
        <v>420</v>
      </c>
      <c r="I106" s="3">
        <v>1.79</v>
      </c>
      <c r="J106" s="3">
        <v>751.8</v>
      </c>
      <c r="K106" s="3">
        <v>247.8</v>
      </c>
      <c r="L106" s="3">
        <v>504</v>
      </c>
      <c r="M106" t="s">
        <v>83</v>
      </c>
      <c r="N106" t="s">
        <v>80</v>
      </c>
      <c r="O106" t="s">
        <v>204</v>
      </c>
    </row>
    <row r="107" spans="1:15" x14ac:dyDescent="0.25">
      <c r="A107" t="s">
        <v>464</v>
      </c>
      <c r="B107" s="9">
        <v>45626</v>
      </c>
      <c r="C107" t="s">
        <v>91</v>
      </c>
      <c r="D107" t="s">
        <v>92</v>
      </c>
      <c r="E107" t="s">
        <v>36</v>
      </c>
      <c r="F107" t="s">
        <v>34</v>
      </c>
      <c r="G107" t="s">
        <v>35</v>
      </c>
      <c r="H107">
        <v>780</v>
      </c>
      <c r="I107" s="3">
        <v>3.49</v>
      </c>
      <c r="J107" s="3">
        <v>2722.2</v>
      </c>
      <c r="K107" s="3">
        <v>897</v>
      </c>
      <c r="L107" s="3">
        <v>1825.2</v>
      </c>
      <c r="M107" t="s">
        <v>90</v>
      </c>
      <c r="N107" t="s">
        <v>87</v>
      </c>
      <c r="O107" t="s">
        <v>204</v>
      </c>
    </row>
    <row r="108" spans="1:15" x14ac:dyDescent="0.25">
      <c r="A108" t="s">
        <v>465</v>
      </c>
      <c r="B108" s="9">
        <v>45628</v>
      </c>
      <c r="C108" t="s">
        <v>57</v>
      </c>
      <c r="D108" t="s">
        <v>58</v>
      </c>
      <c r="E108" t="s">
        <v>8</v>
      </c>
      <c r="F108" t="s">
        <v>9</v>
      </c>
      <c r="G108" t="s">
        <v>10</v>
      </c>
      <c r="H108">
        <v>1800</v>
      </c>
      <c r="I108" s="3">
        <v>1.29</v>
      </c>
      <c r="J108" s="3">
        <v>2322</v>
      </c>
      <c r="K108" s="3">
        <v>810</v>
      </c>
      <c r="L108" s="3">
        <v>1512</v>
      </c>
      <c r="M108" t="s">
        <v>64</v>
      </c>
      <c r="N108" t="s">
        <v>60</v>
      </c>
      <c r="O108" t="s">
        <v>204</v>
      </c>
    </row>
    <row r="109" spans="1:15" x14ac:dyDescent="0.25">
      <c r="A109" t="s">
        <v>466</v>
      </c>
      <c r="B109" s="9">
        <v>45630</v>
      </c>
      <c r="C109" t="s">
        <v>71</v>
      </c>
      <c r="D109" t="s">
        <v>72</v>
      </c>
      <c r="E109" t="s">
        <v>22</v>
      </c>
      <c r="F109" t="s">
        <v>19</v>
      </c>
      <c r="G109" t="s">
        <v>20</v>
      </c>
      <c r="H109">
        <v>2100</v>
      </c>
      <c r="I109" s="3">
        <v>2.79</v>
      </c>
      <c r="J109" s="3">
        <v>5859</v>
      </c>
      <c r="K109" s="3">
        <v>1932</v>
      </c>
      <c r="L109" s="3">
        <v>3927</v>
      </c>
      <c r="M109" t="s">
        <v>76</v>
      </c>
      <c r="N109" t="s">
        <v>74</v>
      </c>
      <c r="O109" t="s">
        <v>204</v>
      </c>
    </row>
    <row r="110" spans="1:15" x14ac:dyDescent="0.25">
      <c r="A110" t="s">
        <v>467</v>
      </c>
      <c r="B110" s="9">
        <v>45632</v>
      </c>
      <c r="C110" t="s">
        <v>96</v>
      </c>
      <c r="D110" t="s">
        <v>97</v>
      </c>
      <c r="E110" t="s">
        <v>42</v>
      </c>
      <c r="F110" t="s">
        <v>43</v>
      </c>
      <c r="G110" t="s">
        <v>44</v>
      </c>
      <c r="H110">
        <v>720</v>
      </c>
      <c r="I110" s="3">
        <v>1.99</v>
      </c>
      <c r="J110" s="3">
        <v>1432.8</v>
      </c>
      <c r="K110" s="3">
        <v>518.4</v>
      </c>
      <c r="L110" s="3">
        <v>914.4</v>
      </c>
      <c r="M110" t="s">
        <v>83</v>
      </c>
      <c r="N110" t="s">
        <v>80</v>
      </c>
      <c r="O110" t="s">
        <v>204</v>
      </c>
    </row>
    <row r="111" spans="1:15" x14ac:dyDescent="0.25">
      <c r="A111" t="s">
        <v>468</v>
      </c>
      <c r="B111" s="9">
        <v>45634</v>
      </c>
      <c r="C111" t="s">
        <v>120</v>
      </c>
      <c r="D111" t="s">
        <v>121</v>
      </c>
      <c r="E111" t="s">
        <v>18</v>
      </c>
      <c r="F111" t="s">
        <v>19</v>
      </c>
      <c r="G111" t="s">
        <v>20</v>
      </c>
      <c r="H111">
        <v>2400</v>
      </c>
      <c r="I111" s="3">
        <v>1.19</v>
      </c>
      <c r="J111" s="3">
        <v>2856</v>
      </c>
      <c r="K111" s="3">
        <v>912</v>
      </c>
      <c r="L111" s="3">
        <v>1944</v>
      </c>
      <c r="M111" t="s">
        <v>90</v>
      </c>
      <c r="N111" t="s">
        <v>87</v>
      </c>
      <c r="O111" t="s">
        <v>204</v>
      </c>
    </row>
    <row r="112" spans="1:15" x14ac:dyDescent="0.25">
      <c r="A112" t="s">
        <v>469</v>
      </c>
      <c r="B112" s="9">
        <v>45636</v>
      </c>
      <c r="C112" t="s">
        <v>65</v>
      </c>
      <c r="D112" t="s">
        <v>66</v>
      </c>
      <c r="E112" t="s">
        <v>29</v>
      </c>
      <c r="F112" t="s">
        <v>30</v>
      </c>
      <c r="G112" t="s">
        <v>31</v>
      </c>
      <c r="H112">
        <v>680</v>
      </c>
      <c r="I112" s="3">
        <v>2.99</v>
      </c>
      <c r="J112" s="3">
        <v>2033.2</v>
      </c>
      <c r="K112" s="3">
        <v>646</v>
      </c>
      <c r="L112" s="3">
        <v>1387.2</v>
      </c>
      <c r="M112" t="s">
        <v>64</v>
      </c>
      <c r="N112" t="s">
        <v>60</v>
      </c>
      <c r="O112" t="s">
        <v>204</v>
      </c>
    </row>
    <row r="113" spans="1:15" x14ac:dyDescent="0.25">
      <c r="A113" t="s">
        <v>470</v>
      </c>
      <c r="B113" s="9">
        <v>45638</v>
      </c>
      <c r="C113" t="s">
        <v>110</v>
      </c>
      <c r="D113" t="s">
        <v>111</v>
      </c>
      <c r="E113" t="s">
        <v>33</v>
      </c>
      <c r="F113" t="s">
        <v>34</v>
      </c>
      <c r="G113" t="s">
        <v>35</v>
      </c>
      <c r="H113">
        <v>1150</v>
      </c>
      <c r="I113" s="3">
        <v>2.4900000000000002</v>
      </c>
      <c r="J113" s="3">
        <v>2863.5</v>
      </c>
      <c r="K113" s="3">
        <v>943</v>
      </c>
      <c r="L113" s="3">
        <v>1920.5</v>
      </c>
      <c r="M113" t="s">
        <v>76</v>
      </c>
      <c r="N113" t="s">
        <v>74</v>
      </c>
      <c r="O113" t="s">
        <v>204</v>
      </c>
    </row>
    <row r="114" spans="1:15" x14ac:dyDescent="0.25">
      <c r="A114" t="s">
        <v>471</v>
      </c>
      <c r="B114" s="9">
        <v>45640</v>
      </c>
      <c r="C114" t="s">
        <v>134</v>
      </c>
      <c r="D114" t="s">
        <v>135</v>
      </c>
      <c r="E114" t="s">
        <v>17</v>
      </c>
      <c r="F114" t="s">
        <v>15</v>
      </c>
      <c r="G114" t="s">
        <v>16</v>
      </c>
      <c r="H114">
        <v>950</v>
      </c>
      <c r="I114" s="3">
        <v>2.29</v>
      </c>
      <c r="J114" s="3">
        <v>2175.5</v>
      </c>
      <c r="K114" s="3">
        <v>769.5</v>
      </c>
      <c r="L114" s="3">
        <v>1406</v>
      </c>
      <c r="M114" t="s">
        <v>83</v>
      </c>
      <c r="N114" t="s">
        <v>80</v>
      </c>
      <c r="O114" t="s">
        <v>204</v>
      </c>
    </row>
    <row r="115" spans="1:15" x14ac:dyDescent="0.25">
      <c r="A115" t="s">
        <v>472</v>
      </c>
      <c r="B115" s="9">
        <v>45642</v>
      </c>
      <c r="C115" t="s">
        <v>155</v>
      </c>
      <c r="D115" t="s">
        <v>156</v>
      </c>
      <c r="E115" t="s">
        <v>32</v>
      </c>
      <c r="F115" t="s">
        <v>30</v>
      </c>
      <c r="G115" t="s">
        <v>31</v>
      </c>
      <c r="H115">
        <v>880</v>
      </c>
      <c r="I115" s="3">
        <v>3.99</v>
      </c>
      <c r="J115" s="3">
        <v>3511.2</v>
      </c>
      <c r="K115" s="3">
        <v>1126.4000000000001</v>
      </c>
      <c r="L115" s="3">
        <v>2384.8000000000002</v>
      </c>
      <c r="M115" t="s">
        <v>90</v>
      </c>
      <c r="N115" t="s">
        <v>87</v>
      </c>
      <c r="O115" t="s">
        <v>204</v>
      </c>
    </row>
    <row r="116" spans="1:15" x14ac:dyDescent="0.25">
      <c r="A116" t="s">
        <v>473</v>
      </c>
      <c r="B116" s="9">
        <v>45644</v>
      </c>
      <c r="C116" t="s">
        <v>143</v>
      </c>
      <c r="D116" t="s">
        <v>144</v>
      </c>
      <c r="E116" t="s">
        <v>21</v>
      </c>
      <c r="F116" t="s">
        <v>19</v>
      </c>
      <c r="G116" t="s">
        <v>20</v>
      </c>
      <c r="H116">
        <v>2500</v>
      </c>
      <c r="I116" s="3">
        <v>1.49</v>
      </c>
      <c r="J116" s="3">
        <v>3725</v>
      </c>
      <c r="K116" s="3">
        <v>1200</v>
      </c>
      <c r="L116" s="3">
        <v>2525</v>
      </c>
      <c r="M116" t="s">
        <v>64</v>
      </c>
      <c r="N116" t="s">
        <v>60</v>
      </c>
      <c r="O116" t="s">
        <v>204</v>
      </c>
    </row>
    <row r="117" spans="1:15" x14ac:dyDescent="0.25">
      <c r="A117" t="s">
        <v>474</v>
      </c>
      <c r="B117" s="9">
        <v>45646</v>
      </c>
      <c r="C117" t="s">
        <v>147</v>
      </c>
      <c r="D117" t="s">
        <v>148</v>
      </c>
      <c r="E117" t="s">
        <v>36</v>
      </c>
      <c r="F117" t="s">
        <v>34</v>
      </c>
      <c r="G117" t="s">
        <v>35</v>
      </c>
      <c r="H117">
        <v>1420</v>
      </c>
      <c r="I117" s="3">
        <v>3.49</v>
      </c>
      <c r="J117" s="3">
        <v>4955.8</v>
      </c>
      <c r="K117" s="3">
        <v>1633</v>
      </c>
      <c r="L117" s="3">
        <v>3322.8</v>
      </c>
      <c r="M117" t="s">
        <v>76</v>
      </c>
      <c r="N117" t="s">
        <v>74</v>
      </c>
      <c r="O117" t="s">
        <v>204</v>
      </c>
    </row>
    <row r="118" spans="1:15" x14ac:dyDescent="0.25">
      <c r="A118" t="s">
        <v>475</v>
      </c>
      <c r="B118" s="9">
        <v>45648</v>
      </c>
      <c r="C118" t="s">
        <v>77</v>
      </c>
      <c r="D118" t="s">
        <v>78</v>
      </c>
      <c r="E118" t="s">
        <v>37</v>
      </c>
      <c r="F118" t="s">
        <v>38</v>
      </c>
      <c r="G118" t="s">
        <v>39</v>
      </c>
      <c r="H118">
        <v>580</v>
      </c>
      <c r="I118" s="3">
        <v>1.79</v>
      </c>
      <c r="J118" s="3">
        <v>1038.2</v>
      </c>
      <c r="K118" s="3">
        <v>336.4</v>
      </c>
      <c r="L118" s="3">
        <v>701.8</v>
      </c>
      <c r="M118" t="s">
        <v>83</v>
      </c>
      <c r="N118" t="s">
        <v>80</v>
      </c>
      <c r="O118" t="s">
        <v>204</v>
      </c>
    </row>
    <row r="119" spans="1:15" x14ac:dyDescent="0.25">
      <c r="A119" t="s">
        <v>476</v>
      </c>
      <c r="B119" s="9">
        <v>45652</v>
      </c>
      <c r="C119" t="s">
        <v>84</v>
      </c>
      <c r="D119" t="s">
        <v>85</v>
      </c>
      <c r="E119" t="s">
        <v>29</v>
      </c>
      <c r="F119" t="s">
        <v>30</v>
      </c>
      <c r="G119" t="s">
        <v>31</v>
      </c>
      <c r="H119">
        <v>1050</v>
      </c>
      <c r="I119" s="3">
        <v>2.99</v>
      </c>
      <c r="J119" s="3">
        <v>3139.5</v>
      </c>
      <c r="K119" s="3">
        <v>997.5</v>
      </c>
      <c r="L119" s="3">
        <v>2142</v>
      </c>
      <c r="M119" t="s">
        <v>90</v>
      </c>
      <c r="N119" t="s">
        <v>87</v>
      </c>
      <c r="O119" t="s">
        <v>234</v>
      </c>
    </row>
    <row r="120" spans="1:15" x14ac:dyDescent="0.25">
      <c r="A120" t="s">
        <v>477</v>
      </c>
      <c r="B120" s="9">
        <v>45654</v>
      </c>
      <c r="C120" t="s">
        <v>106</v>
      </c>
      <c r="D120" t="s">
        <v>107</v>
      </c>
      <c r="E120" t="s">
        <v>26</v>
      </c>
      <c r="F120" t="s">
        <v>27</v>
      </c>
      <c r="G120" t="s">
        <v>20</v>
      </c>
      <c r="H120">
        <v>920</v>
      </c>
      <c r="I120" s="3">
        <v>1.19</v>
      </c>
      <c r="J120" s="3">
        <v>1094.8</v>
      </c>
      <c r="K120" s="3">
        <v>340.4</v>
      </c>
      <c r="L120" s="3">
        <v>754.4</v>
      </c>
      <c r="M120" t="s">
        <v>64</v>
      </c>
      <c r="N120" t="s">
        <v>60</v>
      </c>
      <c r="O120" t="s">
        <v>204</v>
      </c>
    </row>
    <row r="121" spans="1:15" x14ac:dyDescent="0.25">
      <c r="A121" t="s">
        <v>509</v>
      </c>
      <c r="B121" s="9">
        <v>45294</v>
      </c>
      <c r="C121" t="s">
        <v>77</v>
      </c>
      <c r="D121" t="s">
        <v>78</v>
      </c>
      <c r="E121" t="s">
        <v>14</v>
      </c>
      <c r="F121" t="s">
        <v>15</v>
      </c>
      <c r="G121" t="s">
        <v>16</v>
      </c>
      <c r="H121">
        <v>650</v>
      </c>
      <c r="I121" s="3">
        <v>1.49</v>
      </c>
      <c r="J121" s="3">
        <f t="shared" ref="J121:J152" si="4">H121*I121</f>
        <v>968.5</v>
      </c>
      <c r="K121" s="3">
        <f>H121*0.52</f>
        <v>338</v>
      </c>
      <c r="L121" s="3">
        <f t="shared" ref="L121:L152" si="5">J121-K121</f>
        <v>630.5</v>
      </c>
      <c r="M121" t="s">
        <v>83</v>
      </c>
      <c r="N121" t="s">
        <v>80</v>
      </c>
      <c r="O121" t="s">
        <v>204</v>
      </c>
    </row>
    <row r="122" spans="1:15" x14ac:dyDescent="0.25">
      <c r="A122" t="s">
        <v>510</v>
      </c>
      <c r="B122" s="9">
        <v>45297</v>
      </c>
      <c r="C122" t="s">
        <v>91</v>
      </c>
      <c r="D122" t="s">
        <v>92</v>
      </c>
      <c r="E122" t="s">
        <v>36</v>
      </c>
      <c r="F122" t="s">
        <v>34</v>
      </c>
      <c r="G122" t="s">
        <v>35</v>
      </c>
      <c r="H122">
        <v>480</v>
      </c>
      <c r="I122" s="3">
        <v>3.49</v>
      </c>
      <c r="J122" s="3">
        <f t="shared" si="4"/>
        <v>1675.2</v>
      </c>
      <c r="K122" s="3">
        <f>H122*1.15</f>
        <v>552</v>
      </c>
      <c r="L122" s="3">
        <f t="shared" si="5"/>
        <v>1123.2</v>
      </c>
      <c r="M122" t="s">
        <v>90</v>
      </c>
      <c r="N122" t="s">
        <v>87</v>
      </c>
      <c r="O122" t="s">
        <v>204</v>
      </c>
    </row>
    <row r="123" spans="1:15" x14ac:dyDescent="0.25">
      <c r="A123" t="s">
        <v>511</v>
      </c>
      <c r="B123" s="9">
        <v>45300</v>
      </c>
      <c r="C123" t="s">
        <v>102</v>
      </c>
      <c r="D123" t="s">
        <v>103</v>
      </c>
      <c r="E123" t="s">
        <v>21</v>
      </c>
      <c r="F123" t="s">
        <v>19</v>
      </c>
      <c r="G123" t="s">
        <v>20</v>
      </c>
      <c r="H123">
        <v>720</v>
      </c>
      <c r="I123" s="3">
        <v>1.49</v>
      </c>
      <c r="J123" s="3">
        <f t="shared" si="4"/>
        <v>1072.8</v>
      </c>
      <c r="K123" s="3">
        <f>H123*0.48</f>
        <v>345.59999999999997</v>
      </c>
      <c r="L123" s="3">
        <f t="shared" si="5"/>
        <v>727.2</v>
      </c>
      <c r="M123" t="s">
        <v>76</v>
      </c>
      <c r="N123" t="s">
        <v>74</v>
      </c>
      <c r="O123" t="s">
        <v>204</v>
      </c>
    </row>
    <row r="124" spans="1:15" x14ac:dyDescent="0.25">
      <c r="A124" t="s">
        <v>512</v>
      </c>
      <c r="B124" s="9">
        <v>45302</v>
      </c>
      <c r="C124" t="s">
        <v>106</v>
      </c>
      <c r="D124" t="s">
        <v>107</v>
      </c>
      <c r="E124" t="s">
        <v>42</v>
      </c>
      <c r="F124" t="s">
        <v>43</v>
      </c>
      <c r="G124" t="s">
        <v>44</v>
      </c>
      <c r="H124">
        <v>380</v>
      </c>
      <c r="I124" s="3">
        <v>1.99</v>
      </c>
      <c r="J124" s="3">
        <f t="shared" si="4"/>
        <v>756.2</v>
      </c>
      <c r="K124" s="3">
        <f>H124*0.72</f>
        <v>273.59999999999997</v>
      </c>
      <c r="L124" s="3">
        <f t="shared" si="5"/>
        <v>482.60000000000008</v>
      </c>
      <c r="M124" t="s">
        <v>64</v>
      </c>
      <c r="N124" t="s">
        <v>60</v>
      </c>
      <c r="O124" t="s">
        <v>204</v>
      </c>
    </row>
    <row r="125" spans="1:15" x14ac:dyDescent="0.25">
      <c r="A125" t="s">
        <v>513</v>
      </c>
      <c r="B125" s="9">
        <v>45305</v>
      </c>
      <c r="C125" t="s">
        <v>115</v>
      </c>
      <c r="D125" t="s">
        <v>116</v>
      </c>
      <c r="E125" t="s">
        <v>17</v>
      </c>
      <c r="F125" t="s">
        <v>15</v>
      </c>
      <c r="G125" t="s">
        <v>16</v>
      </c>
      <c r="H125">
        <v>520</v>
      </c>
      <c r="I125" s="3">
        <v>2.29</v>
      </c>
      <c r="J125" s="3">
        <f t="shared" si="4"/>
        <v>1190.8</v>
      </c>
      <c r="K125" s="3">
        <f>H125*0.81</f>
        <v>421.20000000000005</v>
      </c>
      <c r="L125" s="3">
        <f t="shared" si="5"/>
        <v>769.59999999999991</v>
      </c>
      <c r="M125" t="s">
        <v>83</v>
      </c>
      <c r="N125" t="s">
        <v>80</v>
      </c>
      <c r="O125" t="s">
        <v>204</v>
      </c>
    </row>
    <row r="126" spans="1:15" x14ac:dyDescent="0.25">
      <c r="A126" t="s">
        <v>514</v>
      </c>
      <c r="B126" s="9">
        <v>45307</v>
      </c>
      <c r="C126" t="s">
        <v>124</v>
      </c>
      <c r="D126" t="s">
        <v>125</v>
      </c>
      <c r="E126" t="s">
        <v>37</v>
      </c>
      <c r="F126" t="s">
        <v>38</v>
      </c>
      <c r="G126" t="s">
        <v>39</v>
      </c>
      <c r="H126">
        <v>290</v>
      </c>
      <c r="I126" s="3">
        <v>1.79</v>
      </c>
      <c r="J126" s="3">
        <f t="shared" si="4"/>
        <v>519.1</v>
      </c>
      <c r="K126" s="3">
        <f>H126*0.58</f>
        <v>168.2</v>
      </c>
      <c r="L126" s="3">
        <f t="shared" si="5"/>
        <v>350.90000000000003</v>
      </c>
      <c r="M126" t="s">
        <v>64</v>
      </c>
      <c r="N126" t="s">
        <v>60</v>
      </c>
      <c r="O126" t="s">
        <v>204</v>
      </c>
    </row>
    <row r="127" spans="1:15" x14ac:dyDescent="0.25">
      <c r="A127" t="s">
        <v>515</v>
      </c>
      <c r="B127" s="9">
        <v>45310</v>
      </c>
      <c r="C127" t="s">
        <v>129</v>
      </c>
      <c r="D127" t="s">
        <v>130</v>
      </c>
      <c r="E127" t="s">
        <v>8</v>
      </c>
      <c r="F127" t="s">
        <v>9</v>
      </c>
      <c r="G127" t="s">
        <v>10</v>
      </c>
      <c r="H127">
        <v>1100</v>
      </c>
      <c r="I127" s="3">
        <v>1.29</v>
      </c>
      <c r="J127" s="3">
        <f t="shared" si="4"/>
        <v>1419</v>
      </c>
      <c r="K127" s="3">
        <f>H127*0.45</f>
        <v>495</v>
      </c>
      <c r="L127" s="3">
        <f t="shared" si="5"/>
        <v>924</v>
      </c>
      <c r="M127" t="s">
        <v>76</v>
      </c>
      <c r="N127" t="s">
        <v>74</v>
      </c>
      <c r="O127" t="s">
        <v>204</v>
      </c>
    </row>
    <row r="128" spans="1:15" x14ac:dyDescent="0.25">
      <c r="A128" t="s">
        <v>516</v>
      </c>
      <c r="B128" s="9">
        <v>45312</v>
      </c>
      <c r="C128" t="s">
        <v>139</v>
      </c>
      <c r="D128" t="s">
        <v>140</v>
      </c>
      <c r="E128" t="s">
        <v>33</v>
      </c>
      <c r="F128" t="s">
        <v>34</v>
      </c>
      <c r="G128" t="s">
        <v>35</v>
      </c>
      <c r="H128">
        <v>750</v>
      </c>
      <c r="I128" s="3">
        <v>2.4900000000000002</v>
      </c>
      <c r="J128" s="3">
        <f t="shared" si="4"/>
        <v>1867.5000000000002</v>
      </c>
      <c r="K128" s="3">
        <f>H128*0.82</f>
        <v>615</v>
      </c>
      <c r="L128" s="3">
        <f t="shared" si="5"/>
        <v>1252.5000000000002</v>
      </c>
      <c r="M128" t="s">
        <v>90</v>
      </c>
      <c r="N128" t="s">
        <v>87</v>
      </c>
      <c r="O128" t="s">
        <v>204</v>
      </c>
    </row>
    <row r="129" spans="1:15" x14ac:dyDescent="0.25">
      <c r="A129" t="s">
        <v>517</v>
      </c>
      <c r="B129" s="9">
        <v>45315</v>
      </c>
      <c r="C129" t="s">
        <v>151</v>
      </c>
      <c r="D129" t="s">
        <v>152</v>
      </c>
      <c r="E129" t="s">
        <v>13</v>
      </c>
      <c r="F129" t="s">
        <v>9</v>
      </c>
      <c r="G129" t="s">
        <v>10</v>
      </c>
      <c r="H129">
        <v>680</v>
      </c>
      <c r="I129" s="3">
        <v>2.4900000000000002</v>
      </c>
      <c r="J129" s="3">
        <f t="shared" si="4"/>
        <v>1693.2</v>
      </c>
      <c r="K129" s="3">
        <f>H129*0.89</f>
        <v>605.20000000000005</v>
      </c>
      <c r="L129" s="3">
        <f t="shared" si="5"/>
        <v>1088</v>
      </c>
      <c r="M129" t="s">
        <v>83</v>
      </c>
      <c r="N129" t="s">
        <v>80</v>
      </c>
      <c r="O129" t="s">
        <v>204</v>
      </c>
    </row>
    <row r="130" spans="1:15" x14ac:dyDescent="0.25">
      <c r="A130" t="s">
        <v>518</v>
      </c>
      <c r="B130" s="9">
        <v>45318</v>
      </c>
      <c r="C130" t="s">
        <v>155</v>
      </c>
      <c r="D130" t="s">
        <v>156</v>
      </c>
      <c r="E130" t="s">
        <v>32</v>
      </c>
      <c r="F130" t="s">
        <v>30</v>
      </c>
      <c r="G130" t="s">
        <v>31</v>
      </c>
      <c r="H130">
        <v>420</v>
      </c>
      <c r="I130" s="3">
        <v>3.99</v>
      </c>
      <c r="J130" s="3">
        <f t="shared" si="4"/>
        <v>1675.8000000000002</v>
      </c>
      <c r="K130" s="3">
        <f>H130*1.28</f>
        <v>537.6</v>
      </c>
      <c r="L130" s="3">
        <f t="shared" si="5"/>
        <v>1138.2000000000003</v>
      </c>
      <c r="M130" t="s">
        <v>90</v>
      </c>
      <c r="N130" t="s">
        <v>87</v>
      </c>
      <c r="O130" t="s">
        <v>204</v>
      </c>
    </row>
    <row r="131" spans="1:15" x14ac:dyDescent="0.25">
      <c r="A131" t="s">
        <v>519</v>
      </c>
      <c r="B131" s="9">
        <v>45323</v>
      </c>
      <c r="C131" t="s">
        <v>57</v>
      </c>
      <c r="D131" t="s">
        <v>58</v>
      </c>
      <c r="E131" t="s">
        <v>23</v>
      </c>
      <c r="F131" t="s">
        <v>24</v>
      </c>
      <c r="G131" t="s">
        <v>20</v>
      </c>
      <c r="H131">
        <v>850</v>
      </c>
      <c r="I131" s="3">
        <v>1.19</v>
      </c>
      <c r="J131" s="3">
        <f t="shared" si="4"/>
        <v>1011.5</v>
      </c>
      <c r="K131" s="3">
        <f>H131*0.39</f>
        <v>331.5</v>
      </c>
      <c r="L131" s="3">
        <f t="shared" si="5"/>
        <v>680</v>
      </c>
      <c r="M131" t="s">
        <v>64</v>
      </c>
      <c r="N131" t="s">
        <v>60</v>
      </c>
      <c r="O131" t="s">
        <v>204</v>
      </c>
    </row>
    <row r="132" spans="1:15" x14ac:dyDescent="0.25">
      <c r="A132" t="s">
        <v>520</v>
      </c>
      <c r="B132" s="9">
        <v>45325</v>
      </c>
      <c r="C132" t="s">
        <v>84</v>
      </c>
      <c r="D132" t="s">
        <v>85</v>
      </c>
      <c r="E132" t="s">
        <v>29</v>
      </c>
      <c r="F132" t="s">
        <v>30</v>
      </c>
      <c r="G132" t="s">
        <v>31</v>
      </c>
      <c r="H132">
        <v>620</v>
      </c>
      <c r="I132" s="3">
        <v>2.99</v>
      </c>
      <c r="J132" s="3">
        <f t="shared" si="4"/>
        <v>1853.8000000000002</v>
      </c>
      <c r="K132" s="3">
        <f>H132*0.95</f>
        <v>589</v>
      </c>
      <c r="L132" s="3">
        <f t="shared" si="5"/>
        <v>1264.8000000000002</v>
      </c>
      <c r="M132" t="s">
        <v>90</v>
      </c>
      <c r="N132" t="s">
        <v>87</v>
      </c>
      <c r="O132" t="s">
        <v>204</v>
      </c>
    </row>
    <row r="133" spans="1:15" x14ac:dyDescent="0.25">
      <c r="A133" t="s">
        <v>521</v>
      </c>
      <c r="B133" s="9">
        <v>45328</v>
      </c>
      <c r="C133" t="s">
        <v>96</v>
      </c>
      <c r="D133" t="s">
        <v>97</v>
      </c>
      <c r="E133" t="s">
        <v>45</v>
      </c>
      <c r="F133" t="s">
        <v>46</v>
      </c>
      <c r="G133" t="s">
        <v>44</v>
      </c>
      <c r="H133">
        <v>440</v>
      </c>
      <c r="I133" s="3">
        <v>1.99</v>
      </c>
      <c r="J133" s="3">
        <f t="shared" si="4"/>
        <v>875.6</v>
      </c>
      <c r="K133" s="3">
        <f>H133*0.74</f>
        <v>325.60000000000002</v>
      </c>
      <c r="L133" s="3">
        <f t="shared" si="5"/>
        <v>550</v>
      </c>
      <c r="M133" t="s">
        <v>83</v>
      </c>
      <c r="N133" t="s">
        <v>80</v>
      </c>
      <c r="O133" t="s">
        <v>204</v>
      </c>
    </row>
    <row r="134" spans="1:15" x14ac:dyDescent="0.25">
      <c r="A134" t="s">
        <v>522</v>
      </c>
      <c r="B134" s="9">
        <v>45331</v>
      </c>
      <c r="C134" t="s">
        <v>110</v>
      </c>
      <c r="D134" t="s">
        <v>111</v>
      </c>
      <c r="E134" t="s">
        <v>22</v>
      </c>
      <c r="F134" t="s">
        <v>19</v>
      </c>
      <c r="G134" t="s">
        <v>20</v>
      </c>
      <c r="H134">
        <v>1350</v>
      </c>
      <c r="I134" s="3">
        <v>2.79</v>
      </c>
      <c r="J134" s="3">
        <f t="shared" si="4"/>
        <v>3766.5</v>
      </c>
      <c r="K134" s="3">
        <f>H134*0.92</f>
        <v>1242</v>
      </c>
      <c r="L134" s="3">
        <f t="shared" si="5"/>
        <v>2524.5</v>
      </c>
      <c r="M134" t="s">
        <v>76</v>
      </c>
      <c r="N134" t="s">
        <v>74</v>
      </c>
      <c r="O134" t="s">
        <v>204</v>
      </c>
    </row>
    <row r="135" spans="1:15" x14ac:dyDescent="0.25">
      <c r="A135" t="s">
        <v>523</v>
      </c>
      <c r="B135" s="9">
        <v>45333</v>
      </c>
      <c r="C135" t="s">
        <v>120</v>
      </c>
      <c r="D135" t="s">
        <v>121</v>
      </c>
      <c r="E135" t="s">
        <v>18</v>
      </c>
      <c r="F135" t="s">
        <v>19</v>
      </c>
      <c r="G135" t="s">
        <v>20</v>
      </c>
      <c r="H135">
        <v>980</v>
      </c>
      <c r="I135" s="3">
        <v>1.19</v>
      </c>
      <c r="J135" s="3">
        <f t="shared" si="4"/>
        <v>1166.2</v>
      </c>
      <c r="K135" s="3">
        <f>H135*0.38</f>
        <v>372.4</v>
      </c>
      <c r="L135" s="3">
        <f t="shared" si="5"/>
        <v>793.80000000000007</v>
      </c>
      <c r="M135" t="s">
        <v>90</v>
      </c>
      <c r="N135" t="s">
        <v>87</v>
      </c>
      <c r="O135" t="s">
        <v>204</v>
      </c>
    </row>
    <row r="136" spans="1:15" x14ac:dyDescent="0.25">
      <c r="A136" t="s">
        <v>524</v>
      </c>
      <c r="B136" s="9">
        <v>45336</v>
      </c>
      <c r="C136" t="s">
        <v>134</v>
      </c>
      <c r="D136" t="s">
        <v>135</v>
      </c>
      <c r="E136" t="s">
        <v>12</v>
      </c>
      <c r="F136" t="s">
        <v>9</v>
      </c>
      <c r="G136" t="s">
        <v>10</v>
      </c>
      <c r="H136">
        <v>890</v>
      </c>
      <c r="I136" s="3">
        <v>1.99</v>
      </c>
      <c r="J136" s="3">
        <f t="shared" si="4"/>
        <v>1771.1</v>
      </c>
      <c r="K136" s="3">
        <f>H136*0.72</f>
        <v>640.79999999999995</v>
      </c>
      <c r="L136" s="3">
        <f t="shared" si="5"/>
        <v>1130.3</v>
      </c>
      <c r="M136" t="s">
        <v>83</v>
      </c>
      <c r="N136" t="s">
        <v>80</v>
      </c>
      <c r="O136" t="s">
        <v>204</v>
      </c>
    </row>
    <row r="137" spans="1:15" x14ac:dyDescent="0.25">
      <c r="A137" t="s">
        <v>525</v>
      </c>
      <c r="B137" s="9">
        <v>45338</v>
      </c>
      <c r="C137" t="s">
        <v>143</v>
      </c>
      <c r="D137" t="s">
        <v>144</v>
      </c>
      <c r="E137" t="s">
        <v>26</v>
      </c>
      <c r="F137" t="s">
        <v>27</v>
      </c>
      <c r="G137" t="s">
        <v>20</v>
      </c>
      <c r="H137">
        <v>1200</v>
      </c>
      <c r="I137" s="3">
        <v>1.19</v>
      </c>
      <c r="J137" s="3">
        <f t="shared" si="4"/>
        <v>1428</v>
      </c>
      <c r="K137" s="3">
        <f>H137*0.37</f>
        <v>444</v>
      </c>
      <c r="L137" s="3">
        <f t="shared" si="5"/>
        <v>984</v>
      </c>
      <c r="M137" t="s">
        <v>64</v>
      </c>
      <c r="N137" t="s">
        <v>60</v>
      </c>
      <c r="O137" t="s">
        <v>204</v>
      </c>
    </row>
    <row r="138" spans="1:15" x14ac:dyDescent="0.25">
      <c r="A138" t="s">
        <v>526</v>
      </c>
      <c r="B138" s="9">
        <v>45341</v>
      </c>
      <c r="C138" t="s">
        <v>147</v>
      </c>
      <c r="D138" t="s">
        <v>148</v>
      </c>
      <c r="E138" t="s">
        <v>36</v>
      </c>
      <c r="F138" t="s">
        <v>34</v>
      </c>
      <c r="G138" t="s">
        <v>35</v>
      </c>
      <c r="H138">
        <v>680</v>
      </c>
      <c r="I138" s="3">
        <v>3.49</v>
      </c>
      <c r="J138" s="3">
        <f t="shared" si="4"/>
        <v>2373.2000000000003</v>
      </c>
      <c r="K138" s="3">
        <f>H138*1.15</f>
        <v>781.99999999999989</v>
      </c>
      <c r="L138" s="3">
        <f t="shared" si="5"/>
        <v>1591.2000000000003</v>
      </c>
      <c r="M138" t="s">
        <v>76</v>
      </c>
      <c r="N138" t="s">
        <v>74</v>
      </c>
      <c r="O138" t="s">
        <v>204</v>
      </c>
    </row>
    <row r="139" spans="1:15" x14ac:dyDescent="0.25">
      <c r="A139" t="s">
        <v>527</v>
      </c>
      <c r="B139" s="9">
        <v>45343</v>
      </c>
      <c r="C139" t="s">
        <v>65</v>
      </c>
      <c r="D139" t="s">
        <v>66</v>
      </c>
      <c r="E139" t="s">
        <v>14</v>
      </c>
      <c r="F139" t="s">
        <v>15</v>
      </c>
      <c r="G139" t="s">
        <v>16</v>
      </c>
      <c r="H139">
        <v>450</v>
      </c>
      <c r="I139" s="3">
        <v>1.49</v>
      </c>
      <c r="J139" s="3">
        <f t="shared" si="4"/>
        <v>670.5</v>
      </c>
      <c r="K139" s="3">
        <f>H139*0.52</f>
        <v>234</v>
      </c>
      <c r="L139" s="3">
        <f t="shared" si="5"/>
        <v>436.5</v>
      </c>
      <c r="M139" t="s">
        <v>64</v>
      </c>
      <c r="N139" t="s">
        <v>60</v>
      </c>
      <c r="O139" t="s">
        <v>204</v>
      </c>
    </row>
    <row r="140" spans="1:15" x14ac:dyDescent="0.25">
      <c r="A140" t="s">
        <v>528</v>
      </c>
      <c r="B140" s="9">
        <v>45346</v>
      </c>
      <c r="C140" t="s">
        <v>71</v>
      </c>
      <c r="D140" t="s">
        <v>72</v>
      </c>
      <c r="E140" t="s">
        <v>40</v>
      </c>
      <c r="F140" t="s">
        <v>41</v>
      </c>
      <c r="G140" t="s">
        <v>39</v>
      </c>
      <c r="H140">
        <v>520</v>
      </c>
      <c r="I140" s="3">
        <v>1.79</v>
      </c>
      <c r="J140" s="3">
        <f t="shared" si="4"/>
        <v>930.80000000000007</v>
      </c>
      <c r="K140" s="3">
        <f>H140*0.59</f>
        <v>306.8</v>
      </c>
      <c r="L140" s="3">
        <f t="shared" si="5"/>
        <v>624</v>
      </c>
      <c r="M140" t="s">
        <v>76</v>
      </c>
      <c r="N140" t="s">
        <v>74</v>
      </c>
      <c r="O140" t="s">
        <v>204</v>
      </c>
    </row>
    <row r="141" spans="1:15" x14ac:dyDescent="0.25">
      <c r="A141" t="s">
        <v>529</v>
      </c>
      <c r="B141" s="9">
        <v>45353</v>
      </c>
      <c r="C141" t="s">
        <v>77</v>
      </c>
      <c r="D141" t="s">
        <v>78</v>
      </c>
      <c r="E141" t="s">
        <v>25</v>
      </c>
      <c r="F141" t="s">
        <v>24</v>
      </c>
      <c r="G141" t="s">
        <v>20</v>
      </c>
      <c r="H141">
        <v>760</v>
      </c>
      <c r="I141" s="3">
        <v>1.49</v>
      </c>
      <c r="J141" s="3">
        <f t="shared" si="4"/>
        <v>1132.4000000000001</v>
      </c>
      <c r="K141" s="3">
        <f>H141*0.49</f>
        <v>372.4</v>
      </c>
      <c r="L141" s="3">
        <f t="shared" si="5"/>
        <v>760.00000000000011</v>
      </c>
      <c r="M141" t="s">
        <v>83</v>
      </c>
      <c r="N141" t="s">
        <v>80</v>
      </c>
      <c r="O141" t="s">
        <v>204</v>
      </c>
    </row>
    <row r="142" spans="1:15" x14ac:dyDescent="0.25">
      <c r="A142" t="s">
        <v>530</v>
      </c>
      <c r="B142" s="9">
        <v>45356</v>
      </c>
      <c r="C142" t="s">
        <v>91</v>
      </c>
      <c r="D142" t="s">
        <v>92</v>
      </c>
      <c r="E142" t="s">
        <v>29</v>
      </c>
      <c r="F142" t="s">
        <v>30</v>
      </c>
      <c r="G142" t="s">
        <v>31</v>
      </c>
      <c r="H142">
        <v>540</v>
      </c>
      <c r="I142" s="3">
        <v>2.99</v>
      </c>
      <c r="J142" s="3">
        <f t="shared" si="4"/>
        <v>1614.6000000000001</v>
      </c>
      <c r="K142" s="3">
        <f>H142*0.95</f>
        <v>513</v>
      </c>
      <c r="L142" s="3">
        <f t="shared" si="5"/>
        <v>1101.6000000000001</v>
      </c>
      <c r="M142" t="s">
        <v>90</v>
      </c>
      <c r="N142" t="s">
        <v>87</v>
      </c>
      <c r="O142" t="s">
        <v>204</v>
      </c>
    </row>
    <row r="143" spans="1:15" x14ac:dyDescent="0.25">
      <c r="A143" t="s">
        <v>531</v>
      </c>
      <c r="B143" s="9">
        <v>45359</v>
      </c>
      <c r="C143" t="s">
        <v>102</v>
      </c>
      <c r="D143" t="s">
        <v>103</v>
      </c>
      <c r="E143" t="s">
        <v>8</v>
      </c>
      <c r="F143" t="s">
        <v>9</v>
      </c>
      <c r="G143" t="s">
        <v>10</v>
      </c>
      <c r="H143">
        <v>1450</v>
      </c>
      <c r="I143" s="3">
        <v>1.29</v>
      </c>
      <c r="J143" s="3">
        <f t="shared" si="4"/>
        <v>1870.5</v>
      </c>
      <c r="K143" s="3">
        <f>H143*0.45</f>
        <v>652.5</v>
      </c>
      <c r="L143" s="3">
        <f t="shared" si="5"/>
        <v>1218</v>
      </c>
      <c r="M143" t="s">
        <v>76</v>
      </c>
      <c r="N143" t="s">
        <v>74</v>
      </c>
      <c r="O143" t="s">
        <v>204</v>
      </c>
    </row>
    <row r="144" spans="1:15" x14ac:dyDescent="0.25">
      <c r="A144" t="s">
        <v>532</v>
      </c>
      <c r="B144" s="9">
        <v>45362</v>
      </c>
      <c r="C144" t="s">
        <v>106</v>
      </c>
      <c r="D144" t="s">
        <v>107</v>
      </c>
      <c r="E144" t="s">
        <v>28</v>
      </c>
      <c r="F144" t="s">
        <v>27</v>
      </c>
      <c r="G144" t="s">
        <v>20</v>
      </c>
      <c r="H144">
        <v>380</v>
      </c>
      <c r="I144" s="3">
        <v>1.49</v>
      </c>
      <c r="J144" s="3">
        <f t="shared" si="4"/>
        <v>566.20000000000005</v>
      </c>
      <c r="K144" s="3">
        <f>H144*0.47</f>
        <v>178.6</v>
      </c>
      <c r="L144" s="3">
        <f t="shared" si="5"/>
        <v>387.6</v>
      </c>
      <c r="M144" t="s">
        <v>64</v>
      </c>
      <c r="N144" t="s">
        <v>60</v>
      </c>
      <c r="O144" t="s">
        <v>204</v>
      </c>
    </row>
    <row r="145" spans="1:15" x14ac:dyDescent="0.25">
      <c r="A145" t="s">
        <v>533</v>
      </c>
      <c r="B145" s="9">
        <v>45365</v>
      </c>
      <c r="C145" t="s">
        <v>115</v>
      </c>
      <c r="D145" t="s">
        <v>116</v>
      </c>
      <c r="E145" t="s">
        <v>42</v>
      </c>
      <c r="F145" t="s">
        <v>43</v>
      </c>
      <c r="G145" t="s">
        <v>44</v>
      </c>
      <c r="H145">
        <v>290</v>
      </c>
      <c r="I145" s="3">
        <v>1.99</v>
      </c>
      <c r="J145" s="3">
        <f t="shared" si="4"/>
        <v>577.1</v>
      </c>
      <c r="K145" s="3">
        <f>H145*0.72</f>
        <v>208.79999999999998</v>
      </c>
      <c r="L145" s="3">
        <f t="shared" si="5"/>
        <v>368.30000000000007</v>
      </c>
      <c r="M145" t="s">
        <v>83</v>
      </c>
      <c r="N145" t="s">
        <v>80</v>
      </c>
      <c r="O145" t="s">
        <v>204</v>
      </c>
    </row>
    <row r="146" spans="1:15" x14ac:dyDescent="0.25">
      <c r="A146" t="s">
        <v>534</v>
      </c>
      <c r="B146" s="9">
        <v>45367</v>
      </c>
      <c r="C146" t="s">
        <v>124</v>
      </c>
      <c r="D146" t="s">
        <v>125</v>
      </c>
      <c r="E146" t="s">
        <v>17</v>
      </c>
      <c r="F146" t="s">
        <v>15</v>
      </c>
      <c r="G146" t="s">
        <v>16</v>
      </c>
      <c r="H146">
        <v>480</v>
      </c>
      <c r="I146" s="3">
        <v>2.29</v>
      </c>
      <c r="J146" s="3">
        <f t="shared" si="4"/>
        <v>1099.2</v>
      </c>
      <c r="K146" s="3">
        <f>H146*0.81</f>
        <v>388.8</v>
      </c>
      <c r="L146" s="3">
        <f t="shared" si="5"/>
        <v>710.40000000000009</v>
      </c>
      <c r="M146" t="s">
        <v>64</v>
      </c>
      <c r="N146" t="s">
        <v>60</v>
      </c>
      <c r="O146" t="s">
        <v>204</v>
      </c>
    </row>
    <row r="147" spans="1:15" x14ac:dyDescent="0.25">
      <c r="A147" t="s">
        <v>535</v>
      </c>
      <c r="B147" s="9">
        <v>45370</v>
      </c>
      <c r="C147" t="s">
        <v>129</v>
      </c>
      <c r="D147" t="s">
        <v>130</v>
      </c>
      <c r="E147" t="s">
        <v>21</v>
      </c>
      <c r="F147" t="s">
        <v>19</v>
      </c>
      <c r="G147" t="s">
        <v>20</v>
      </c>
      <c r="H147">
        <v>1080</v>
      </c>
      <c r="I147" s="3">
        <v>1.49</v>
      </c>
      <c r="J147" s="3">
        <f t="shared" si="4"/>
        <v>1609.2</v>
      </c>
      <c r="K147" s="3">
        <f>H147*0.48</f>
        <v>518.4</v>
      </c>
      <c r="L147" s="3">
        <f t="shared" si="5"/>
        <v>1090.8000000000002</v>
      </c>
      <c r="M147" t="s">
        <v>76</v>
      </c>
      <c r="N147" t="s">
        <v>74</v>
      </c>
      <c r="O147" t="s">
        <v>204</v>
      </c>
    </row>
    <row r="148" spans="1:15" x14ac:dyDescent="0.25">
      <c r="A148" t="s">
        <v>536</v>
      </c>
      <c r="B148" s="9">
        <v>45372</v>
      </c>
      <c r="C148" t="s">
        <v>139</v>
      </c>
      <c r="D148" t="s">
        <v>140</v>
      </c>
      <c r="E148" t="s">
        <v>32</v>
      </c>
      <c r="F148" t="s">
        <v>30</v>
      </c>
      <c r="G148" t="s">
        <v>31</v>
      </c>
      <c r="H148">
        <v>380</v>
      </c>
      <c r="I148" s="3">
        <v>3.99</v>
      </c>
      <c r="J148" s="3">
        <f t="shared" si="4"/>
        <v>1516.2</v>
      </c>
      <c r="K148" s="3">
        <f>H148*1.28</f>
        <v>486.40000000000003</v>
      </c>
      <c r="L148" s="3">
        <f t="shared" si="5"/>
        <v>1029.8</v>
      </c>
      <c r="M148" t="s">
        <v>90</v>
      </c>
      <c r="N148" t="s">
        <v>87</v>
      </c>
      <c r="O148" t="s">
        <v>204</v>
      </c>
    </row>
    <row r="149" spans="1:15" x14ac:dyDescent="0.25">
      <c r="A149" t="s">
        <v>537</v>
      </c>
      <c r="B149" s="9">
        <v>45374</v>
      </c>
      <c r="C149" t="s">
        <v>151</v>
      </c>
      <c r="D149" t="s">
        <v>152</v>
      </c>
      <c r="E149" t="s">
        <v>37</v>
      </c>
      <c r="F149" t="s">
        <v>38</v>
      </c>
      <c r="G149" t="s">
        <v>39</v>
      </c>
      <c r="H149">
        <v>420</v>
      </c>
      <c r="I149" s="3">
        <v>1.79</v>
      </c>
      <c r="J149" s="3">
        <f t="shared" si="4"/>
        <v>751.80000000000007</v>
      </c>
      <c r="K149" s="3">
        <f>H149*0.58</f>
        <v>243.6</v>
      </c>
      <c r="L149" s="3">
        <f t="shared" si="5"/>
        <v>508.20000000000005</v>
      </c>
      <c r="M149" t="s">
        <v>83</v>
      </c>
      <c r="N149" t="s">
        <v>80</v>
      </c>
      <c r="O149" t="s">
        <v>204</v>
      </c>
    </row>
    <row r="150" spans="1:15" x14ac:dyDescent="0.25">
      <c r="A150" t="s">
        <v>538</v>
      </c>
      <c r="B150" s="9">
        <v>45377</v>
      </c>
      <c r="C150" t="s">
        <v>155</v>
      </c>
      <c r="D150" t="s">
        <v>156</v>
      </c>
      <c r="E150" t="s">
        <v>33</v>
      </c>
      <c r="F150" t="s">
        <v>34</v>
      </c>
      <c r="G150" t="s">
        <v>35</v>
      </c>
      <c r="H150">
        <v>890</v>
      </c>
      <c r="I150" s="3">
        <v>2.4900000000000002</v>
      </c>
      <c r="J150" s="3">
        <f t="shared" si="4"/>
        <v>2216.1000000000004</v>
      </c>
      <c r="K150" s="3">
        <f>H150*0.82</f>
        <v>729.8</v>
      </c>
      <c r="L150" s="3">
        <f t="shared" si="5"/>
        <v>1486.3000000000004</v>
      </c>
      <c r="M150" t="s">
        <v>90</v>
      </c>
      <c r="N150" t="s">
        <v>87</v>
      </c>
      <c r="O150" t="s">
        <v>204</v>
      </c>
    </row>
    <row r="151" spans="1:15" x14ac:dyDescent="0.25">
      <c r="A151" t="s">
        <v>539</v>
      </c>
      <c r="B151" s="9">
        <v>45384</v>
      </c>
      <c r="C151" t="s">
        <v>57</v>
      </c>
      <c r="D151" t="s">
        <v>58</v>
      </c>
      <c r="E151" t="s">
        <v>18</v>
      </c>
      <c r="F151" t="s">
        <v>19</v>
      </c>
      <c r="G151" t="s">
        <v>20</v>
      </c>
      <c r="H151">
        <v>1250</v>
      </c>
      <c r="I151" s="3">
        <v>1.19</v>
      </c>
      <c r="J151" s="3">
        <f t="shared" si="4"/>
        <v>1487.5</v>
      </c>
      <c r="K151" s="3">
        <f>H151*0.38</f>
        <v>475</v>
      </c>
      <c r="L151" s="3">
        <f t="shared" si="5"/>
        <v>1012.5</v>
      </c>
      <c r="M151" t="s">
        <v>64</v>
      </c>
      <c r="N151" t="s">
        <v>60</v>
      </c>
      <c r="O151" t="s">
        <v>204</v>
      </c>
    </row>
    <row r="152" spans="1:15" x14ac:dyDescent="0.25">
      <c r="A152" t="s">
        <v>540</v>
      </c>
      <c r="B152" s="9">
        <v>45387</v>
      </c>
      <c r="C152" t="s">
        <v>71</v>
      </c>
      <c r="D152" t="s">
        <v>72</v>
      </c>
      <c r="E152" t="s">
        <v>12</v>
      </c>
      <c r="F152" t="s">
        <v>9</v>
      </c>
      <c r="G152" t="s">
        <v>10</v>
      </c>
      <c r="H152">
        <v>980</v>
      </c>
      <c r="I152" s="3">
        <v>1.99</v>
      </c>
      <c r="J152" s="3">
        <f t="shared" si="4"/>
        <v>1950.2</v>
      </c>
      <c r="K152" s="3">
        <f>H152*0.72</f>
        <v>705.6</v>
      </c>
      <c r="L152" s="3">
        <f t="shared" si="5"/>
        <v>1244.5999999999999</v>
      </c>
      <c r="M152" t="s">
        <v>76</v>
      </c>
      <c r="N152" t="s">
        <v>74</v>
      </c>
      <c r="O152" t="s">
        <v>204</v>
      </c>
    </row>
    <row r="153" spans="1:15" x14ac:dyDescent="0.25">
      <c r="A153" t="s">
        <v>541</v>
      </c>
      <c r="B153" s="9">
        <v>45390</v>
      </c>
      <c r="C153" t="s">
        <v>84</v>
      </c>
      <c r="D153" t="s">
        <v>85</v>
      </c>
      <c r="E153" t="s">
        <v>36</v>
      </c>
      <c r="F153" t="s">
        <v>34</v>
      </c>
      <c r="G153" t="s">
        <v>35</v>
      </c>
      <c r="H153">
        <v>720</v>
      </c>
      <c r="I153" s="3">
        <v>3.49</v>
      </c>
      <c r="J153" s="3">
        <f t="shared" ref="J153:J184" si="6">H153*I153</f>
        <v>2512.8000000000002</v>
      </c>
      <c r="K153" s="3">
        <f>H153*1.15</f>
        <v>827.99999999999989</v>
      </c>
      <c r="L153" s="3">
        <f t="shared" ref="L153:L184" si="7">J153-K153</f>
        <v>1684.8000000000002</v>
      </c>
      <c r="M153" t="s">
        <v>90</v>
      </c>
      <c r="N153" t="s">
        <v>87</v>
      </c>
      <c r="O153" t="s">
        <v>204</v>
      </c>
    </row>
    <row r="154" spans="1:15" x14ac:dyDescent="0.25">
      <c r="A154" t="s">
        <v>542</v>
      </c>
      <c r="B154" s="9">
        <v>45393</v>
      </c>
      <c r="C154" t="s">
        <v>96</v>
      </c>
      <c r="D154" t="s">
        <v>97</v>
      </c>
      <c r="E154" t="s">
        <v>14</v>
      </c>
      <c r="F154" t="s">
        <v>15</v>
      </c>
      <c r="G154" t="s">
        <v>16</v>
      </c>
      <c r="H154">
        <v>580</v>
      </c>
      <c r="I154" s="3">
        <v>1.49</v>
      </c>
      <c r="J154" s="3">
        <f t="shared" si="6"/>
        <v>864.2</v>
      </c>
      <c r="K154" s="3">
        <f>H154*0.52</f>
        <v>301.60000000000002</v>
      </c>
      <c r="L154" s="3">
        <f t="shared" si="7"/>
        <v>562.6</v>
      </c>
      <c r="M154" t="s">
        <v>83</v>
      </c>
      <c r="N154" t="s">
        <v>80</v>
      </c>
      <c r="O154" t="s">
        <v>204</v>
      </c>
    </row>
    <row r="155" spans="1:15" x14ac:dyDescent="0.25">
      <c r="A155" t="s">
        <v>543</v>
      </c>
      <c r="B155" s="9">
        <v>45396</v>
      </c>
      <c r="C155" t="s">
        <v>110</v>
      </c>
      <c r="D155" t="s">
        <v>111</v>
      </c>
      <c r="E155" t="s">
        <v>23</v>
      </c>
      <c r="F155" t="s">
        <v>24</v>
      </c>
      <c r="G155" t="s">
        <v>20</v>
      </c>
      <c r="H155">
        <v>1100</v>
      </c>
      <c r="I155" s="3">
        <v>1.19</v>
      </c>
      <c r="J155" s="3">
        <f t="shared" si="6"/>
        <v>1309</v>
      </c>
      <c r="K155" s="3">
        <f>H155*0.39</f>
        <v>429</v>
      </c>
      <c r="L155" s="3">
        <f t="shared" si="7"/>
        <v>880</v>
      </c>
      <c r="M155" t="s">
        <v>76</v>
      </c>
      <c r="N155" t="s">
        <v>74</v>
      </c>
      <c r="O155" t="s">
        <v>204</v>
      </c>
    </row>
    <row r="156" spans="1:15" x14ac:dyDescent="0.25">
      <c r="A156" t="s">
        <v>544</v>
      </c>
      <c r="B156" s="9">
        <v>45399</v>
      </c>
      <c r="C156" t="s">
        <v>120</v>
      </c>
      <c r="D156" t="s">
        <v>121</v>
      </c>
      <c r="E156" t="s">
        <v>29</v>
      </c>
      <c r="F156" t="s">
        <v>30</v>
      </c>
      <c r="G156" t="s">
        <v>31</v>
      </c>
      <c r="H156">
        <v>480</v>
      </c>
      <c r="I156" s="3">
        <v>2.99</v>
      </c>
      <c r="J156" s="3">
        <f t="shared" si="6"/>
        <v>1435.2</v>
      </c>
      <c r="K156" s="3">
        <f>H156*0.95</f>
        <v>456</v>
      </c>
      <c r="L156" s="3">
        <f t="shared" si="7"/>
        <v>979.2</v>
      </c>
      <c r="M156" t="s">
        <v>90</v>
      </c>
      <c r="N156" t="s">
        <v>87</v>
      </c>
      <c r="O156" t="s">
        <v>204</v>
      </c>
    </row>
    <row r="157" spans="1:15" x14ac:dyDescent="0.25">
      <c r="A157" t="s">
        <v>545</v>
      </c>
      <c r="B157" s="9">
        <v>45401</v>
      </c>
      <c r="C157" t="s">
        <v>134</v>
      </c>
      <c r="D157" t="s">
        <v>135</v>
      </c>
      <c r="E157" t="s">
        <v>40</v>
      </c>
      <c r="F157" t="s">
        <v>41</v>
      </c>
      <c r="G157" t="s">
        <v>39</v>
      </c>
      <c r="H157">
        <v>350</v>
      </c>
      <c r="I157" s="3">
        <v>1.79</v>
      </c>
      <c r="J157" s="3">
        <f t="shared" si="6"/>
        <v>626.5</v>
      </c>
      <c r="K157" s="3">
        <f>H157*0.59</f>
        <v>206.5</v>
      </c>
      <c r="L157" s="3">
        <f t="shared" si="7"/>
        <v>420</v>
      </c>
      <c r="M157" t="s">
        <v>83</v>
      </c>
      <c r="N157" t="s">
        <v>80</v>
      </c>
      <c r="O157" t="s">
        <v>204</v>
      </c>
    </row>
    <row r="158" spans="1:15" x14ac:dyDescent="0.25">
      <c r="A158" t="s">
        <v>546</v>
      </c>
      <c r="B158" s="9">
        <v>45403</v>
      </c>
      <c r="C158" t="s">
        <v>143</v>
      </c>
      <c r="D158" t="s">
        <v>144</v>
      </c>
      <c r="E158" t="s">
        <v>22</v>
      </c>
      <c r="F158" t="s">
        <v>19</v>
      </c>
      <c r="G158" t="s">
        <v>20</v>
      </c>
      <c r="H158">
        <v>1680</v>
      </c>
      <c r="I158" s="3">
        <v>2.79</v>
      </c>
      <c r="J158" s="3">
        <f t="shared" si="6"/>
        <v>4687.2</v>
      </c>
      <c r="K158" s="3">
        <f>H158*0.92</f>
        <v>1545.6000000000001</v>
      </c>
      <c r="L158" s="3">
        <f t="shared" si="7"/>
        <v>3141.5999999999995</v>
      </c>
      <c r="M158" t="s">
        <v>64</v>
      </c>
      <c r="N158" t="s">
        <v>60</v>
      </c>
      <c r="O158" t="s">
        <v>204</v>
      </c>
    </row>
    <row r="159" spans="1:15" x14ac:dyDescent="0.25">
      <c r="A159" t="s">
        <v>547</v>
      </c>
      <c r="B159" s="9">
        <v>45405</v>
      </c>
      <c r="C159" t="s">
        <v>147</v>
      </c>
      <c r="D159" t="s">
        <v>148</v>
      </c>
      <c r="E159" t="s">
        <v>45</v>
      </c>
      <c r="F159" t="s">
        <v>46</v>
      </c>
      <c r="G159" t="s">
        <v>44</v>
      </c>
      <c r="H159">
        <v>620</v>
      </c>
      <c r="I159" s="3">
        <v>1.99</v>
      </c>
      <c r="J159" s="3">
        <f t="shared" si="6"/>
        <v>1233.8</v>
      </c>
      <c r="K159" s="3">
        <f>H159*0.74</f>
        <v>458.8</v>
      </c>
      <c r="L159" s="3">
        <f t="shared" si="7"/>
        <v>775</v>
      </c>
      <c r="M159" t="s">
        <v>76</v>
      </c>
      <c r="N159" t="s">
        <v>74</v>
      </c>
      <c r="O159" t="s">
        <v>204</v>
      </c>
    </row>
    <row r="160" spans="1:15" x14ac:dyDescent="0.25">
      <c r="A160" t="s">
        <v>548</v>
      </c>
      <c r="B160" s="9">
        <v>45408</v>
      </c>
      <c r="C160" t="s">
        <v>65</v>
      </c>
      <c r="D160" t="s">
        <v>66</v>
      </c>
      <c r="E160" t="s">
        <v>8</v>
      </c>
      <c r="F160" t="s">
        <v>9</v>
      </c>
      <c r="G160" t="s">
        <v>10</v>
      </c>
      <c r="H160">
        <v>890</v>
      </c>
      <c r="I160" s="3">
        <v>1.29</v>
      </c>
      <c r="J160" s="3">
        <f t="shared" si="6"/>
        <v>1148.1000000000001</v>
      </c>
      <c r="K160" s="3">
        <f>H160*0.45</f>
        <v>400.5</v>
      </c>
      <c r="L160" s="3">
        <f t="shared" si="7"/>
        <v>747.60000000000014</v>
      </c>
      <c r="M160" t="s">
        <v>64</v>
      </c>
      <c r="N160" t="s">
        <v>60</v>
      </c>
      <c r="O160" t="s">
        <v>204</v>
      </c>
    </row>
    <row r="161" spans="1:15" x14ac:dyDescent="0.25">
      <c r="A161" t="s">
        <v>549</v>
      </c>
      <c r="B161" s="9">
        <v>45414</v>
      </c>
      <c r="C161" t="s">
        <v>77</v>
      </c>
      <c r="D161" t="s">
        <v>78</v>
      </c>
      <c r="E161" t="s">
        <v>26</v>
      </c>
      <c r="F161" t="s">
        <v>27</v>
      </c>
      <c r="G161" t="s">
        <v>20</v>
      </c>
      <c r="H161">
        <v>680</v>
      </c>
      <c r="I161" s="3">
        <v>1.19</v>
      </c>
      <c r="J161" s="3">
        <f t="shared" si="6"/>
        <v>809.19999999999993</v>
      </c>
      <c r="K161" s="3">
        <f>H161*0.37</f>
        <v>251.6</v>
      </c>
      <c r="L161" s="3">
        <f t="shared" si="7"/>
        <v>557.59999999999991</v>
      </c>
      <c r="M161" t="s">
        <v>83</v>
      </c>
      <c r="N161" t="s">
        <v>80</v>
      </c>
      <c r="O161" t="s">
        <v>204</v>
      </c>
    </row>
    <row r="162" spans="1:15" x14ac:dyDescent="0.25">
      <c r="A162" t="s">
        <v>550</v>
      </c>
      <c r="B162" s="9">
        <v>45417</v>
      </c>
      <c r="C162" t="s">
        <v>91</v>
      </c>
      <c r="D162" t="s">
        <v>92</v>
      </c>
      <c r="E162" t="s">
        <v>33</v>
      </c>
      <c r="F162" t="s">
        <v>34</v>
      </c>
      <c r="G162" t="s">
        <v>35</v>
      </c>
      <c r="H162">
        <v>920</v>
      </c>
      <c r="I162" s="3">
        <v>2.4900000000000002</v>
      </c>
      <c r="J162" s="3">
        <f t="shared" si="6"/>
        <v>2290.8000000000002</v>
      </c>
      <c r="K162" s="3">
        <f>H162*0.82</f>
        <v>754.4</v>
      </c>
      <c r="L162" s="3">
        <f t="shared" si="7"/>
        <v>1536.4</v>
      </c>
      <c r="M162" t="s">
        <v>90</v>
      </c>
      <c r="N162" t="s">
        <v>87</v>
      </c>
      <c r="O162" t="s">
        <v>204</v>
      </c>
    </row>
    <row r="163" spans="1:15" x14ac:dyDescent="0.25">
      <c r="A163" t="s">
        <v>551</v>
      </c>
      <c r="B163" s="9">
        <v>45420</v>
      </c>
      <c r="C163" t="s">
        <v>106</v>
      </c>
      <c r="D163" t="s">
        <v>107</v>
      </c>
      <c r="E163" t="s">
        <v>18</v>
      </c>
      <c r="F163" t="s">
        <v>19</v>
      </c>
      <c r="G163" t="s">
        <v>20</v>
      </c>
      <c r="H163">
        <v>540</v>
      </c>
      <c r="I163" s="3">
        <v>1.19</v>
      </c>
      <c r="J163" s="3">
        <f t="shared" si="6"/>
        <v>642.6</v>
      </c>
      <c r="K163" s="3">
        <f>H163*0.38</f>
        <v>205.2</v>
      </c>
      <c r="L163" s="3">
        <f t="shared" si="7"/>
        <v>437.40000000000003</v>
      </c>
      <c r="M163" t="s">
        <v>64</v>
      </c>
      <c r="N163" t="s">
        <v>60</v>
      </c>
      <c r="O163" t="s">
        <v>204</v>
      </c>
    </row>
    <row r="164" spans="1:15" x14ac:dyDescent="0.25">
      <c r="A164" t="s">
        <v>552</v>
      </c>
      <c r="B164" s="9">
        <v>45423</v>
      </c>
      <c r="C164" t="s">
        <v>115</v>
      </c>
      <c r="D164" t="s">
        <v>116</v>
      </c>
      <c r="E164" t="s">
        <v>12</v>
      </c>
      <c r="F164" t="s">
        <v>9</v>
      </c>
      <c r="G164" t="s">
        <v>10</v>
      </c>
      <c r="H164">
        <v>720</v>
      </c>
      <c r="I164" s="3">
        <v>1.99</v>
      </c>
      <c r="J164" s="3">
        <f t="shared" si="6"/>
        <v>1432.8</v>
      </c>
      <c r="K164" s="3">
        <f>H164*0.72</f>
        <v>518.4</v>
      </c>
      <c r="L164" s="3">
        <f t="shared" si="7"/>
        <v>914.4</v>
      </c>
      <c r="M164" t="s">
        <v>83</v>
      </c>
      <c r="N164" t="s">
        <v>80</v>
      </c>
      <c r="O164" t="s">
        <v>204</v>
      </c>
    </row>
    <row r="165" spans="1:15" x14ac:dyDescent="0.25">
      <c r="A165" t="s">
        <v>553</v>
      </c>
      <c r="B165" s="9">
        <v>45426</v>
      </c>
      <c r="C165" t="s">
        <v>124</v>
      </c>
      <c r="D165" t="s">
        <v>125</v>
      </c>
      <c r="E165" t="s">
        <v>32</v>
      </c>
      <c r="F165" t="s">
        <v>30</v>
      </c>
      <c r="G165" t="s">
        <v>31</v>
      </c>
      <c r="H165">
        <v>380</v>
      </c>
      <c r="I165" s="3">
        <v>3.99</v>
      </c>
      <c r="J165" s="3">
        <f t="shared" si="6"/>
        <v>1516.2</v>
      </c>
      <c r="K165" s="3">
        <f>H165*1.28</f>
        <v>486.40000000000003</v>
      </c>
      <c r="L165" s="3">
        <f t="shared" si="7"/>
        <v>1029.8</v>
      </c>
      <c r="M165" t="s">
        <v>64</v>
      </c>
      <c r="N165" t="s">
        <v>60</v>
      </c>
      <c r="O165" t="s">
        <v>204</v>
      </c>
    </row>
    <row r="166" spans="1:15" x14ac:dyDescent="0.25">
      <c r="A166" t="s">
        <v>554</v>
      </c>
      <c r="B166" s="9">
        <v>45429</v>
      </c>
      <c r="C166" t="s">
        <v>151</v>
      </c>
      <c r="D166" t="s">
        <v>152</v>
      </c>
      <c r="E166" t="s">
        <v>17</v>
      </c>
      <c r="F166" t="s">
        <v>15</v>
      </c>
      <c r="G166" t="s">
        <v>16</v>
      </c>
      <c r="H166">
        <v>650</v>
      </c>
      <c r="I166" s="3">
        <v>2.29</v>
      </c>
      <c r="J166" s="3">
        <f t="shared" si="6"/>
        <v>1488.5</v>
      </c>
      <c r="K166" s="3">
        <f>H166*0.81</f>
        <v>526.5</v>
      </c>
      <c r="L166" s="3">
        <f t="shared" si="7"/>
        <v>962</v>
      </c>
      <c r="M166" t="s">
        <v>83</v>
      </c>
      <c r="N166" t="s">
        <v>80</v>
      </c>
      <c r="O166" t="s">
        <v>204</v>
      </c>
    </row>
    <row r="167" spans="1:15" x14ac:dyDescent="0.25">
      <c r="A167" t="s">
        <v>555</v>
      </c>
      <c r="B167" s="9">
        <v>45432</v>
      </c>
      <c r="C167" t="s">
        <v>155</v>
      </c>
      <c r="D167" t="s">
        <v>156</v>
      </c>
      <c r="E167" t="s">
        <v>23</v>
      </c>
      <c r="F167" t="s">
        <v>24</v>
      </c>
      <c r="G167" t="s">
        <v>20</v>
      </c>
      <c r="H167">
        <v>1280</v>
      </c>
      <c r="I167" s="3">
        <v>1.19</v>
      </c>
      <c r="J167" s="3">
        <f t="shared" si="6"/>
        <v>1523.1999999999998</v>
      </c>
      <c r="K167" s="3">
        <f>H167*0.39</f>
        <v>499.20000000000005</v>
      </c>
      <c r="L167" s="3">
        <f t="shared" si="7"/>
        <v>1023.9999999999998</v>
      </c>
      <c r="M167" t="s">
        <v>90</v>
      </c>
      <c r="N167" t="s">
        <v>87</v>
      </c>
      <c r="O167" t="s">
        <v>204</v>
      </c>
    </row>
    <row r="168" spans="1:15" x14ac:dyDescent="0.25">
      <c r="A168" t="s">
        <v>556</v>
      </c>
      <c r="B168" s="9">
        <v>45435</v>
      </c>
      <c r="C168" t="s">
        <v>65</v>
      </c>
      <c r="D168" t="s">
        <v>66</v>
      </c>
      <c r="E168" t="s">
        <v>37</v>
      </c>
      <c r="F168" t="s">
        <v>38</v>
      </c>
      <c r="G168" t="s">
        <v>39</v>
      </c>
      <c r="H168">
        <v>320</v>
      </c>
      <c r="I168" s="3">
        <v>1.79</v>
      </c>
      <c r="J168" s="3">
        <f t="shared" si="6"/>
        <v>572.79999999999995</v>
      </c>
      <c r="K168" s="3">
        <f>H168*0.58</f>
        <v>185.6</v>
      </c>
      <c r="L168" s="3">
        <f t="shared" si="7"/>
        <v>387.19999999999993</v>
      </c>
      <c r="M168" t="s">
        <v>64</v>
      </c>
      <c r="N168" t="s">
        <v>60</v>
      </c>
      <c r="O168" t="s">
        <v>204</v>
      </c>
    </row>
    <row r="169" spans="1:15" x14ac:dyDescent="0.25">
      <c r="A169" t="s">
        <v>557</v>
      </c>
      <c r="B169" s="9">
        <v>45438</v>
      </c>
      <c r="C169" t="s">
        <v>102</v>
      </c>
      <c r="D169" t="s">
        <v>103</v>
      </c>
      <c r="E169" t="s">
        <v>25</v>
      </c>
      <c r="F169" t="s">
        <v>24</v>
      </c>
      <c r="G169" t="s">
        <v>20</v>
      </c>
      <c r="H169">
        <v>890</v>
      </c>
      <c r="I169" s="3">
        <v>1.49</v>
      </c>
      <c r="J169" s="3">
        <f t="shared" si="6"/>
        <v>1326.1</v>
      </c>
      <c r="K169" s="3">
        <f>H169*0.49</f>
        <v>436.09999999999997</v>
      </c>
      <c r="L169" s="3">
        <f t="shared" si="7"/>
        <v>890</v>
      </c>
      <c r="M169" t="s">
        <v>76</v>
      </c>
      <c r="N169" t="s">
        <v>74</v>
      </c>
      <c r="O169" t="s">
        <v>204</v>
      </c>
    </row>
    <row r="170" spans="1:15" x14ac:dyDescent="0.25">
      <c r="A170" t="s">
        <v>558</v>
      </c>
      <c r="B170" s="9">
        <v>45441</v>
      </c>
      <c r="C170" t="s">
        <v>129</v>
      </c>
      <c r="D170" t="s">
        <v>130</v>
      </c>
      <c r="E170" t="s">
        <v>13</v>
      </c>
      <c r="F170" t="s">
        <v>9</v>
      </c>
      <c r="G170" t="s">
        <v>10</v>
      </c>
      <c r="H170">
        <v>1150</v>
      </c>
      <c r="I170" s="3">
        <v>2.4900000000000002</v>
      </c>
      <c r="J170" s="3">
        <f t="shared" si="6"/>
        <v>2863.5000000000005</v>
      </c>
      <c r="K170" s="3">
        <f>H170*0.89</f>
        <v>1023.5</v>
      </c>
      <c r="L170" s="3">
        <f t="shared" si="7"/>
        <v>1840.0000000000005</v>
      </c>
      <c r="M170" t="s">
        <v>76</v>
      </c>
      <c r="N170" t="s">
        <v>74</v>
      </c>
      <c r="O170" t="s">
        <v>204</v>
      </c>
    </row>
    <row r="171" spans="1:15" x14ac:dyDescent="0.25">
      <c r="A171" t="s">
        <v>559</v>
      </c>
      <c r="B171" s="9">
        <v>45444</v>
      </c>
      <c r="C171" t="s">
        <v>57</v>
      </c>
      <c r="D171" t="s">
        <v>58</v>
      </c>
      <c r="E171" t="s">
        <v>36</v>
      </c>
      <c r="F171" t="s">
        <v>34</v>
      </c>
      <c r="G171" t="s">
        <v>35</v>
      </c>
      <c r="H171">
        <v>780</v>
      </c>
      <c r="I171" s="3">
        <v>3.49</v>
      </c>
      <c r="J171" s="3">
        <f t="shared" si="6"/>
        <v>2722.2000000000003</v>
      </c>
      <c r="K171" s="3">
        <f>H171*1.15</f>
        <v>896.99999999999989</v>
      </c>
      <c r="L171" s="3">
        <f t="shared" si="7"/>
        <v>1825.2000000000003</v>
      </c>
      <c r="M171" t="s">
        <v>64</v>
      </c>
      <c r="N171" t="s">
        <v>60</v>
      </c>
      <c r="O171" t="s">
        <v>204</v>
      </c>
    </row>
    <row r="172" spans="1:15" x14ac:dyDescent="0.25">
      <c r="A172" t="s">
        <v>560</v>
      </c>
      <c r="B172" s="9">
        <v>45447</v>
      </c>
      <c r="C172" t="s">
        <v>71</v>
      </c>
      <c r="D172" t="s">
        <v>72</v>
      </c>
      <c r="E172" t="s">
        <v>21</v>
      </c>
      <c r="F172" t="s">
        <v>19</v>
      </c>
      <c r="G172" t="s">
        <v>20</v>
      </c>
      <c r="H172">
        <v>1420</v>
      </c>
      <c r="I172" s="3">
        <v>1.49</v>
      </c>
      <c r="J172" s="3">
        <f t="shared" si="6"/>
        <v>2115.8000000000002</v>
      </c>
      <c r="K172" s="3">
        <f>H172*0.48</f>
        <v>681.6</v>
      </c>
      <c r="L172" s="3">
        <f t="shared" si="7"/>
        <v>1434.2000000000003</v>
      </c>
      <c r="M172" t="s">
        <v>76</v>
      </c>
      <c r="N172" t="s">
        <v>74</v>
      </c>
      <c r="O172" t="s">
        <v>204</v>
      </c>
    </row>
    <row r="173" spans="1:15" x14ac:dyDescent="0.25">
      <c r="A173" t="s">
        <v>561</v>
      </c>
      <c r="B173" s="9">
        <v>45450</v>
      </c>
      <c r="C173" t="s">
        <v>84</v>
      </c>
      <c r="D173" t="s">
        <v>85</v>
      </c>
      <c r="E173" t="s">
        <v>29</v>
      </c>
      <c r="F173" t="s">
        <v>30</v>
      </c>
      <c r="G173" t="s">
        <v>31</v>
      </c>
      <c r="H173">
        <v>580</v>
      </c>
      <c r="I173" s="3">
        <v>2.99</v>
      </c>
      <c r="J173" s="3">
        <f t="shared" si="6"/>
        <v>1734.2</v>
      </c>
      <c r="K173" s="3">
        <f>H173*0.95</f>
        <v>551</v>
      </c>
      <c r="L173" s="3">
        <f t="shared" si="7"/>
        <v>1183.2</v>
      </c>
      <c r="M173" t="s">
        <v>90</v>
      </c>
      <c r="N173" t="s">
        <v>87</v>
      </c>
      <c r="O173" t="s">
        <v>204</v>
      </c>
    </row>
    <row r="174" spans="1:15" x14ac:dyDescent="0.25">
      <c r="A174" t="s">
        <v>562</v>
      </c>
      <c r="B174" s="9">
        <v>45453</v>
      </c>
      <c r="C174" t="s">
        <v>96</v>
      </c>
      <c r="D174" t="s">
        <v>97</v>
      </c>
      <c r="E174" t="s">
        <v>8</v>
      </c>
      <c r="F174" t="s">
        <v>9</v>
      </c>
      <c r="G174" t="s">
        <v>10</v>
      </c>
      <c r="H174">
        <v>980</v>
      </c>
      <c r="I174" s="3">
        <v>1.29</v>
      </c>
      <c r="J174" s="3">
        <f t="shared" si="6"/>
        <v>1264.2</v>
      </c>
      <c r="K174" s="3">
        <f>H174*0.45</f>
        <v>441</v>
      </c>
      <c r="L174" s="3">
        <f t="shared" si="7"/>
        <v>823.2</v>
      </c>
      <c r="M174" t="s">
        <v>83</v>
      </c>
      <c r="N174" t="s">
        <v>80</v>
      </c>
      <c r="O174" t="s">
        <v>204</v>
      </c>
    </row>
    <row r="175" spans="1:15" x14ac:dyDescent="0.25">
      <c r="A175" t="s">
        <v>563</v>
      </c>
      <c r="B175" s="9">
        <v>45456</v>
      </c>
      <c r="C175" t="s">
        <v>110</v>
      </c>
      <c r="D175" t="s">
        <v>111</v>
      </c>
      <c r="E175" t="s">
        <v>42</v>
      </c>
      <c r="F175" t="s">
        <v>43</v>
      </c>
      <c r="G175" t="s">
        <v>44</v>
      </c>
      <c r="H175">
        <v>450</v>
      </c>
      <c r="I175" s="3">
        <v>1.99</v>
      </c>
      <c r="J175" s="3">
        <f t="shared" si="6"/>
        <v>895.5</v>
      </c>
      <c r="K175" s="3">
        <f>H175*0.72</f>
        <v>324</v>
      </c>
      <c r="L175" s="3">
        <f t="shared" si="7"/>
        <v>571.5</v>
      </c>
      <c r="M175" t="s">
        <v>76</v>
      </c>
      <c r="N175" t="s">
        <v>74</v>
      </c>
      <c r="O175" t="s">
        <v>204</v>
      </c>
    </row>
    <row r="176" spans="1:15" x14ac:dyDescent="0.25">
      <c r="A176" t="s">
        <v>564</v>
      </c>
      <c r="B176" s="9">
        <v>45459</v>
      </c>
      <c r="C176" t="s">
        <v>120</v>
      </c>
      <c r="D176" t="s">
        <v>121</v>
      </c>
      <c r="E176" t="s">
        <v>22</v>
      </c>
      <c r="F176" t="s">
        <v>19</v>
      </c>
      <c r="G176" t="s">
        <v>20</v>
      </c>
      <c r="H176">
        <v>1650</v>
      </c>
      <c r="I176" s="3">
        <v>2.79</v>
      </c>
      <c r="J176" s="3">
        <f t="shared" si="6"/>
        <v>4603.5</v>
      </c>
      <c r="K176" s="3">
        <f>H176*0.92</f>
        <v>1518</v>
      </c>
      <c r="L176" s="3">
        <f t="shared" si="7"/>
        <v>3085.5</v>
      </c>
      <c r="M176" t="s">
        <v>90</v>
      </c>
      <c r="N176" t="s">
        <v>87</v>
      </c>
      <c r="O176" t="s">
        <v>204</v>
      </c>
    </row>
    <row r="177" spans="1:15" x14ac:dyDescent="0.25">
      <c r="A177" t="s">
        <v>565</v>
      </c>
      <c r="B177" s="9">
        <v>45462</v>
      </c>
      <c r="C177" t="s">
        <v>134</v>
      </c>
      <c r="D177" t="s">
        <v>135</v>
      </c>
      <c r="E177" t="s">
        <v>14</v>
      </c>
      <c r="F177" t="s">
        <v>15</v>
      </c>
      <c r="G177" t="s">
        <v>16</v>
      </c>
      <c r="H177">
        <v>720</v>
      </c>
      <c r="I177" s="3">
        <v>1.49</v>
      </c>
      <c r="J177" s="3">
        <f t="shared" si="6"/>
        <v>1072.8</v>
      </c>
      <c r="K177" s="3">
        <f>H177*0.52</f>
        <v>374.40000000000003</v>
      </c>
      <c r="L177" s="3">
        <f t="shared" si="7"/>
        <v>698.39999999999986</v>
      </c>
      <c r="M177" t="s">
        <v>83</v>
      </c>
      <c r="N177" t="s">
        <v>80</v>
      </c>
      <c r="O177" t="s">
        <v>204</v>
      </c>
    </row>
    <row r="178" spans="1:15" x14ac:dyDescent="0.25">
      <c r="A178" t="s">
        <v>566</v>
      </c>
      <c r="B178" s="9">
        <v>45465</v>
      </c>
      <c r="C178" t="s">
        <v>143</v>
      </c>
      <c r="D178" t="s">
        <v>144</v>
      </c>
      <c r="E178" t="s">
        <v>28</v>
      </c>
      <c r="F178" t="s">
        <v>27</v>
      </c>
      <c r="G178" t="s">
        <v>20</v>
      </c>
      <c r="H178">
        <v>980</v>
      </c>
      <c r="I178" s="3">
        <v>1.49</v>
      </c>
      <c r="J178" s="3">
        <f t="shared" si="6"/>
        <v>1460.2</v>
      </c>
      <c r="K178" s="3">
        <f>H178*0.47</f>
        <v>460.59999999999997</v>
      </c>
      <c r="L178" s="3">
        <f t="shared" si="7"/>
        <v>999.60000000000014</v>
      </c>
      <c r="M178" t="s">
        <v>64</v>
      </c>
      <c r="N178" t="s">
        <v>60</v>
      </c>
      <c r="O178" t="s">
        <v>204</v>
      </c>
    </row>
    <row r="179" spans="1:15" x14ac:dyDescent="0.25">
      <c r="A179" t="s">
        <v>567</v>
      </c>
      <c r="B179" s="9">
        <v>45468</v>
      </c>
      <c r="C179" t="s">
        <v>147</v>
      </c>
      <c r="D179" t="s">
        <v>148</v>
      </c>
      <c r="E179" t="s">
        <v>33</v>
      </c>
      <c r="F179" t="s">
        <v>34</v>
      </c>
      <c r="G179" t="s">
        <v>35</v>
      </c>
      <c r="H179">
        <v>1120</v>
      </c>
      <c r="I179" s="3">
        <v>2.4900000000000002</v>
      </c>
      <c r="J179" s="3">
        <f t="shared" si="6"/>
        <v>2788.8</v>
      </c>
      <c r="K179" s="3">
        <f>H179*0.82</f>
        <v>918.4</v>
      </c>
      <c r="L179" s="3">
        <f t="shared" si="7"/>
        <v>1870.4</v>
      </c>
      <c r="M179" t="s">
        <v>76</v>
      </c>
      <c r="N179" t="s">
        <v>74</v>
      </c>
      <c r="O179" t="s">
        <v>204</v>
      </c>
    </row>
    <row r="180" spans="1:15" x14ac:dyDescent="0.25">
      <c r="A180" t="s">
        <v>568</v>
      </c>
      <c r="B180" s="9">
        <v>45471</v>
      </c>
      <c r="C180" t="s">
        <v>139</v>
      </c>
      <c r="D180" t="s">
        <v>140</v>
      </c>
      <c r="E180" t="s">
        <v>32</v>
      </c>
      <c r="F180" t="s">
        <v>30</v>
      </c>
      <c r="G180" t="s">
        <v>31</v>
      </c>
      <c r="H180">
        <v>460</v>
      </c>
      <c r="I180" s="3">
        <v>3.99</v>
      </c>
      <c r="J180" s="3">
        <f t="shared" si="6"/>
        <v>1835.4</v>
      </c>
      <c r="K180" s="3">
        <f>H180*1.28</f>
        <v>588.80000000000007</v>
      </c>
      <c r="L180" s="3">
        <f t="shared" si="7"/>
        <v>1246.5999999999999</v>
      </c>
      <c r="M180" t="s">
        <v>90</v>
      </c>
      <c r="N180" t="s">
        <v>87</v>
      </c>
      <c r="O180" t="s">
        <v>234</v>
      </c>
    </row>
    <row r="181" spans="1:15" x14ac:dyDescent="0.25">
      <c r="A181" t="s">
        <v>569</v>
      </c>
      <c r="B181" s="9">
        <v>45475</v>
      </c>
      <c r="C181" t="s">
        <v>77</v>
      </c>
      <c r="D181" t="s">
        <v>78</v>
      </c>
      <c r="E181" t="s">
        <v>18</v>
      </c>
      <c r="F181" t="s">
        <v>19</v>
      </c>
      <c r="G181" t="s">
        <v>20</v>
      </c>
      <c r="H181">
        <v>850</v>
      </c>
      <c r="I181" s="3">
        <v>1.19</v>
      </c>
      <c r="J181" s="3">
        <f t="shared" si="6"/>
        <v>1011.5</v>
      </c>
      <c r="K181" s="3">
        <f>H181*0.38</f>
        <v>323</v>
      </c>
      <c r="L181" s="3">
        <f t="shared" si="7"/>
        <v>688.5</v>
      </c>
      <c r="M181" t="s">
        <v>83</v>
      </c>
      <c r="N181" t="s">
        <v>80</v>
      </c>
      <c r="O181" t="s">
        <v>204</v>
      </c>
    </row>
    <row r="182" spans="1:15" x14ac:dyDescent="0.25">
      <c r="A182" t="s">
        <v>570</v>
      </c>
      <c r="B182" s="9">
        <v>45478</v>
      </c>
      <c r="C182" t="s">
        <v>91</v>
      </c>
      <c r="D182" t="s">
        <v>92</v>
      </c>
      <c r="E182" t="s">
        <v>12</v>
      </c>
      <c r="F182" t="s">
        <v>9</v>
      </c>
      <c r="G182" t="s">
        <v>10</v>
      </c>
      <c r="H182">
        <v>1080</v>
      </c>
      <c r="I182" s="3">
        <v>1.99</v>
      </c>
      <c r="J182" s="3">
        <f t="shared" si="6"/>
        <v>2149.1999999999998</v>
      </c>
      <c r="K182" s="3">
        <f>H182*0.72</f>
        <v>777.6</v>
      </c>
      <c r="L182" s="3">
        <f t="shared" si="7"/>
        <v>1371.6</v>
      </c>
      <c r="M182" t="s">
        <v>90</v>
      </c>
      <c r="N182" t="s">
        <v>87</v>
      </c>
      <c r="O182" t="s">
        <v>204</v>
      </c>
    </row>
    <row r="183" spans="1:15" x14ac:dyDescent="0.25">
      <c r="A183" t="s">
        <v>571</v>
      </c>
      <c r="B183" s="9">
        <v>45481</v>
      </c>
      <c r="C183" t="s">
        <v>106</v>
      </c>
      <c r="D183" t="s">
        <v>107</v>
      </c>
      <c r="E183" t="s">
        <v>40</v>
      </c>
      <c r="F183" t="s">
        <v>41</v>
      </c>
      <c r="G183" t="s">
        <v>39</v>
      </c>
      <c r="H183">
        <v>380</v>
      </c>
      <c r="I183" s="3">
        <v>1.79</v>
      </c>
      <c r="J183" s="3">
        <f t="shared" si="6"/>
        <v>680.2</v>
      </c>
      <c r="K183" s="3">
        <f>H183*0.59</f>
        <v>224.2</v>
      </c>
      <c r="L183" s="3">
        <f t="shared" si="7"/>
        <v>456.00000000000006</v>
      </c>
      <c r="M183" t="s">
        <v>64</v>
      </c>
      <c r="N183" t="s">
        <v>60</v>
      </c>
      <c r="O183" t="s">
        <v>204</v>
      </c>
    </row>
    <row r="184" spans="1:15" x14ac:dyDescent="0.25">
      <c r="A184" t="s">
        <v>572</v>
      </c>
      <c r="B184" s="9">
        <v>45484</v>
      </c>
      <c r="C184" t="s">
        <v>115</v>
      </c>
      <c r="D184" t="s">
        <v>116</v>
      </c>
      <c r="E184" t="s">
        <v>29</v>
      </c>
      <c r="F184" t="s">
        <v>30</v>
      </c>
      <c r="G184" t="s">
        <v>31</v>
      </c>
      <c r="H184">
        <v>290</v>
      </c>
      <c r="I184" s="3">
        <v>2.99</v>
      </c>
      <c r="J184" s="3">
        <f t="shared" si="6"/>
        <v>867.1</v>
      </c>
      <c r="K184" s="3">
        <f>H184*0.95</f>
        <v>275.5</v>
      </c>
      <c r="L184" s="3">
        <f t="shared" si="7"/>
        <v>591.6</v>
      </c>
      <c r="M184" t="s">
        <v>83</v>
      </c>
      <c r="N184" t="s">
        <v>80</v>
      </c>
      <c r="O184" t="s">
        <v>204</v>
      </c>
    </row>
    <row r="185" spans="1:15" x14ac:dyDescent="0.25">
      <c r="A185" t="s">
        <v>573</v>
      </c>
      <c r="B185" s="9">
        <v>45487</v>
      </c>
      <c r="C185" t="s">
        <v>124</v>
      </c>
      <c r="D185" t="s">
        <v>125</v>
      </c>
      <c r="E185" t="s">
        <v>23</v>
      </c>
      <c r="F185" t="s">
        <v>24</v>
      </c>
      <c r="G185" t="s">
        <v>20</v>
      </c>
      <c r="H185">
        <v>620</v>
      </c>
      <c r="I185" s="3">
        <v>1.19</v>
      </c>
      <c r="J185" s="3">
        <f t="shared" ref="J185:J216" si="8">H185*I185</f>
        <v>737.8</v>
      </c>
      <c r="K185" s="3">
        <f>H185*0.39</f>
        <v>241.8</v>
      </c>
      <c r="L185" s="3">
        <f t="shared" ref="L185:L216" si="9">J185-K185</f>
        <v>495.99999999999994</v>
      </c>
      <c r="M185" t="s">
        <v>64</v>
      </c>
      <c r="N185" t="s">
        <v>60</v>
      </c>
      <c r="O185" t="s">
        <v>204</v>
      </c>
    </row>
    <row r="186" spans="1:15" x14ac:dyDescent="0.25">
      <c r="A186" t="s">
        <v>574</v>
      </c>
      <c r="B186" s="9">
        <v>45490</v>
      </c>
      <c r="C186" t="s">
        <v>151</v>
      </c>
      <c r="D186" t="s">
        <v>152</v>
      </c>
      <c r="E186" t="s">
        <v>36</v>
      </c>
      <c r="F186" t="s">
        <v>34</v>
      </c>
      <c r="G186" t="s">
        <v>35</v>
      </c>
      <c r="H186">
        <v>540</v>
      </c>
      <c r="I186" s="3">
        <v>3.49</v>
      </c>
      <c r="J186" s="3">
        <f t="shared" si="8"/>
        <v>1884.6000000000001</v>
      </c>
      <c r="K186" s="3">
        <f>H186*1.15</f>
        <v>621</v>
      </c>
      <c r="L186" s="3">
        <f t="shared" si="9"/>
        <v>1263.6000000000001</v>
      </c>
      <c r="M186" t="s">
        <v>83</v>
      </c>
      <c r="N186" t="s">
        <v>80</v>
      </c>
      <c r="O186" t="s">
        <v>204</v>
      </c>
    </row>
    <row r="187" spans="1:15" x14ac:dyDescent="0.25">
      <c r="A187" t="s">
        <v>575</v>
      </c>
      <c r="B187" s="9">
        <v>45493</v>
      </c>
      <c r="C187" t="s">
        <v>155</v>
      </c>
      <c r="D187" t="s">
        <v>156</v>
      </c>
      <c r="E187" t="s">
        <v>21</v>
      </c>
      <c r="F187" t="s">
        <v>19</v>
      </c>
      <c r="G187" t="s">
        <v>20</v>
      </c>
      <c r="H187">
        <v>1380</v>
      </c>
      <c r="I187" s="3">
        <v>1.49</v>
      </c>
      <c r="J187" s="3">
        <f t="shared" si="8"/>
        <v>2056.1999999999998</v>
      </c>
      <c r="K187" s="3">
        <f>H187*0.48</f>
        <v>662.4</v>
      </c>
      <c r="L187" s="3">
        <f t="shared" si="9"/>
        <v>1393.7999999999997</v>
      </c>
      <c r="M187" t="s">
        <v>90</v>
      </c>
      <c r="N187" t="s">
        <v>87</v>
      </c>
      <c r="O187" t="s">
        <v>204</v>
      </c>
    </row>
    <row r="188" spans="1:15" x14ac:dyDescent="0.25">
      <c r="A188" t="s">
        <v>576</v>
      </c>
      <c r="B188" s="9">
        <v>45496</v>
      </c>
      <c r="C188" t="s">
        <v>57</v>
      </c>
      <c r="D188" t="s">
        <v>58</v>
      </c>
      <c r="E188" t="s">
        <v>45</v>
      </c>
      <c r="F188" t="s">
        <v>46</v>
      </c>
      <c r="G188" t="s">
        <v>44</v>
      </c>
      <c r="H188">
        <v>580</v>
      </c>
      <c r="I188" s="3">
        <v>1.99</v>
      </c>
      <c r="J188" s="3">
        <f t="shared" si="8"/>
        <v>1154.2</v>
      </c>
      <c r="K188" s="3">
        <f>H188*0.74</f>
        <v>429.2</v>
      </c>
      <c r="L188" s="3">
        <f t="shared" si="9"/>
        <v>725</v>
      </c>
      <c r="M188" t="s">
        <v>64</v>
      </c>
      <c r="N188" t="s">
        <v>60</v>
      </c>
      <c r="O188" t="s">
        <v>204</v>
      </c>
    </row>
    <row r="189" spans="1:15" x14ac:dyDescent="0.25">
      <c r="A189" t="s">
        <v>577</v>
      </c>
      <c r="B189" s="9">
        <v>45499</v>
      </c>
      <c r="C189" t="s">
        <v>71</v>
      </c>
      <c r="D189" t="s">
        <v>72</v>
      </c>
      <c r="E189" t="s">
        <v>17</v>
      </c>
      <c r="F189" t="s">
        <v>15</v>
      </c>
      <c r="G189" t="s">
        <v>16</v>
      </c>
      <c r="H189">
        <v>920</v>
      </c>
      <c r="I189" s="3">
        <v>2.29</v>
      </c>
      <c r="J189" s="3">
        <f t="shared" si="8"/>
        <v>2106.8000000000002</v>
      </c>
      <c r="K189" s="3">
        <f>H189*0.81</f>
        <v>745.2</v>
      </c>
      <c r="L189" s="3">
        <f t="shared" si="9"/>
        <v>1361.6000000000001</v>
      </c>
      <c r="M189" t="s">
        <v>76</v>
      </c>
      <c r="N189" t="s">
        <v>74</v>
      </c>
      <c r="O189" t="s">
        <v>204</v>
      </c>
    </row>
    <row r="190" spans="1:15" x14ac:dyDescent="0.25">
      <c r="A190" t="s">
        <v>578</v>
      </c>
      <c r="B190" s="9">
        <v>45502</v>
      </c>
      <c r="C190" t="s">
        <v>84</v>
      </c>
      <c r="D190" t="s">
        <v>85</v>
      </c>
      <c r="E190" t="s">
        <v>33</v>
      </c>
      <c r="F190" t="s">
        <v>34</v>
      </c>
      <c r="G190" t="s">
        <v>35</v>
      </c>
      <c r="H190">
        <v>1250</v>
      </c>
      <c r="I190" s="3">
        <v>2.4900000000000002</v>
      </c>
      <c r="J190" s="3">
        <f t="shared" si="8"/>
        <v>3112.5000000000005</v>
      </c>
      <c r="K190" s="3">
        <f>H190*0.82</f>
        <v>1025</v>
      </c>
      <c r="L190" s="3">
        <f t="shared" si="9"/>
        <v>2087.5000000000005</v>
      </c>
      <c r="M190" t="s">
        <v>90</v>
      </c>
      <c r="N190" t="s">
        <v>87</v>
      </c>
      <c r="O190" t="s">
        <v>204</v>
      </c>
    </row>
    <row r="191" spans="1:15" x14ac:dyDescent="0.25">
      <c r="A191" t="s">
        <v>579</v>
      </c>
      <c r="B191" s="9">
        <v>45505</v>
      </c>
      <c r="C191" t="s">
        <v>96</v>
      </c>
      <c r="D191" t="s">
        <v>97</v>
      </c>
      <c r="E191" t="s">
        <v>26</v>
      </c>
      <c r="F191" t="s">
        <v>27</v>
      </c>
      <c r="G191" t="s">
        <v>20</v>
      </c>
      <c r="H191">
        <v>480</v>
      </c>
      <c r="I191" s="3">
        <v>1.19</v>
      </c>
      <c r="J191" s="3">
        <f t="shared" si="8"/>
        <v>571.19999999999993</v>
      </c>
      <c r="K191" s="3">
        <f>H191*0.37</f>
        <v>177.6</v>
      </c>
      <c r="L191" s="3">
        <f t="shared" si="9"/>
        <v>393.59999999999991</v>
      </c>
      <c r="M191" t="s">
        <v>83</v>
      </c>
      <c r="N191" t="s">
        <v>80</v>
      </c>
      <c r="O191" t="s">
        <v>204</v>
      </c>
    </row>
    <row r="192" spans="1:15" x14ac:dyDescent="0.25">
      <c r="A192" t="s">
        <v>580</v>
      </c>
      <c r="B192" s="9">
        <v>45508</v>
      </c>
      <c r="C192" t="s">
        <v>102</v>
      </c>
      <c r="D192" t="s">
        <v>103</v>
      </c>
      <c r="E192" t="s">
        <v>32</v>
      </c>
      <c r="F192" t="s">
        <v>30</v>
      </c>
      <c r="G192" t="s">
        <v>31</v>
      </c>
      <c r="H192">
        <v>650</v>
      </c>
      <c r="I192" s="3">
        <v>3.99</v>
      </c>
      <c r="J192" s="3">
        <f t="shared" si="8"/>
        <v>2593.5</v>
      </c>
      <c r="K192" s="3">
        <f>H192*1.28</f>
        <v>832</v>
      </c>
      <c r="L192" s="3">
        <f t="shared" si="9"/>
        <v>1761.5</v>
      </c>
      <c r="M192" t="s">
        <v>76</v>
      </c>
      <c r="N192" t="s">
        <v>74</v>
      </c>
      <c r="O192" t="s">
        <v>204</v>
      </c>
    </row>
    <row r="193" spans="1:15" x14ac:dyDescent="0.25">
      <c r="A193" t="s">
        <v>581</v>
      </c>
      <c r="B193" s="9">
        <v>45511</v>
      </c>
      <c r="C193" t="s">
        <v>110</v>
      </c>
      <c r="D193" t="s">
        <v>111</v>
      </c>
      <c r="E193" t="s">
        <v>8</v>
      </c>
      <c r="F193" t="s">
        <v>9</v>
      </c>
      <c r="G193" t="s">
        <v>10</v>
      </c>
      <c r="H193">
        <v>1850</v>
      </c>
      <c r="I193" s="3">
        <v>1.29</v>
      </c>
      <c r="J193" s="3">
        <f t="shared" si="8"/>
        <v>2386.5</v>
      </c>
      <c r="K193" s="3">
        <f>H193*0.45</f>
        <v>832.5</v>
      </c>
      <c r="L193" s="3">
        <f t="shared" si="9"/>
        <v>1554</v>
      </c>
      <c r="M193" t="s">
        <v>76</v>
      </c>
      <c r="N193" t="s">
        <v>74</v>
      </c>
      <c r="O193" t="s">
        <v>204</v>
      </c>
    </row>
    <row r="194" spans="1:15" x14ac:dyDescent="0.25">
      <c r="A194" t="s">
        <v>582</v>
      </c>
      <c r="B194" s="9">
        <v>45514</v>
      </c>
      <c r="C194" t="s">
        <v>120</v>
      </c>
      <c r="D194" t="s">
        <v>121</v>
      </c>
      <c r="E194" t="s">
        <v>25</v>
      </c>
      <c r="F194" t="s">
        <v>24</v>
      </c>
      <c r="G194" t="s">
        <v>20</v>
      </c>
      <c r="H194">
        <v>1120</v>
      </c>
      <c r="I194" s="3">
        <v>1.49</v>
      </c>
      <c r="J194" s="3">
        <f t="shared" si="8"/>
        <v>1668.8</v>
      </c>
      <c r="K194" s="3">
        <f>H194*0.49</f>
        <v>548.79999999999995</v>
      </c>
      <c r="L194" s="3">
        <f t="shared" si="9"/>
        <v>1120</v>
      </c>
      <c r="M194" t="s">
        <v>90</v>
      </c>
      <c r="N194" t="s">
        <v>87</v>
      </c>
      <c r="O194" t="s">
        <v>204</v>
      </c>
    </row>
    <row r="195" spans="1:15" x14ac:dyDescent="0.25">
      <c r="A195" t="s">
        <v>583</v>
      </c>
      <c r="B195" s="9">
        <v>45517</v>
      </c>
      <c r="C195" t="s">
        <v>129</v>
      </c>
      <c r="D195" t="s">
        <v>130</v>
      </c>
      <c r="E195" t="s">
        <v>37</v>
      </c>
      <c r="F195" t="s">
        <v>38</v>
      </c>
      <c r="G195" t="s">
        <v>39</v>
      </c>
      <c r="H195">
        <v>420</v>
      </c>
      <c r="I195" s="3">
        <v>1.79</v>
      </c>
      <c r="J195" s="3">
        <f t="shared" si="8"/>
        <v>751.80000000000007</v>
      </c>
      <c r="K195" s="3">
        <f>H195*0.58</f>
        <v>243.6</v>
      </c>
      <c r="L195" s="3">
        <f t="shared" si="9"/>
        <v>508.20000000000005</v>
      </c>
      <c r="M195" t="s">
        <v>76</v>
      </c>
      <c r="N195" t="s">
        <v>74</v>
      </c>
      <c r="O195" t="s">
        <v>204</v>
      </c>
    </row>
    <row r="196" spans="1:15" x14ac:dyDescent="0.25">
      <c r="A196" t="s">
        <v>584</v>
      </c>
      <c r="B196" s="9">
        <v>45520</v>
      </c>
      <c r="C196" t="s">
        <v>134</v>
      </c>
      <c r="D196" t="s">
        <v>135</v>
      </c>
      <c r="E196" t="s">
        <v>22</v>
      </c>
      <c r="F196" t="s">
        <v>19</v>
      </c>
      <c r="G196" t="s">
        <v>20</v>
      </c>
      <c r="H196">
        <v>1580</v>
      </c>
      <c r="I196" s="3">
        <v>2.79</v>
      </c>
      <c r="J196" s="3">
        <f t="shared" si="8"/>
        <v>4408.2</v>
      </c>
      <c r="K196" s="3">
        <f>H196*0.92</f>
        <v>1453.6000000000001</v>
      </c>
      <c r="L196" s="3">
        <f t="shared" si="9"/>
        <v>2954.5999999999995</v>
      </c>
      <c r="M196" t="s">
        <v>83</v>
      </c>
      <c r="N196" t="s">
        <v>80</v>
      </c>
      <c r="O196" t="s">
        <v>204</v>
      </c>
    </row>
    <row r="197" spans="1:15" x14ac:dyDescent="0.25">
      <c r="A197" t="s">
        <v>585</v>
      </c>
      <c r="B197" s="9">
        <v>45523</v>
      </c>
      <c r="C197" t="s">
        <v>143</v>
      </c>
      <c r="D197" t="s">
        <v>144</v>
      </c>
      <c r="E197" t="s">
        <v>14</v>
      </c>
      <c r="F197" t="s">
        <v>15</v>
      </c>
      <c r="G197" t="s">
        <v>16</v>
      </c>
      <c r="H197">
        <v>780</v>
      </c>
      <c r="I197" s="3">
        <v>1.49</v>
      </c>
      <c r="J197" s="3">
        <f t="shared" si="8"/>
        <v>1162.2</v>
      </c>
      <c r="K197" s="3">
        <f>H197*0.52</f>
        <v>405.6</v>
      </c>
      <c r="L197" s="3">
        <f t="shared" si="9"/>
        <v>756.6</v>
      </c>
      <c r="M197" t="s">
        <v>64</v>
      </c>
      <c r="N197" t="s">
        <v>60</v>
      </c>
      <c r="O197" t="s">
        <v>204</v>
      </c>
    </row>
    <row r="198" spans="1:15" x14ac:dyDescent="0.25">
      <c r="A198" t="s">
        <v>586</v>
      </c>
      <c r="B198" s="9">
        <v>45526</v>
      </c>
      <c r="C198" t="s">
        <v>147</v>
      </c>
      <c r="D198" t="s">
        <v>148</v>
      </c>
      <c r="E198" t="s">
        <v>29</v>
      </c>
      <c r="F198" t="s">
        <v>30</v>
      </c>
      <c r="G198" t="s">
        <v>31</v>
      </c>
      <c r="H198">
        <v>890</v>
      </c>
      <c r="I198" s="3">
        <v>2.99</v>
      </c>
      <c r="J198" s="3">
        <f t="shared" si="8"/>
        <v>2661.1000000000004</v>
      </c>
      <c r="K198" s="3">
        <f>H198*0.95</f>
        <v>845.5</v>
      </c>
      <c r="L198" s="3">
        <f t="shared" si="9"/>
        <v>1815.6000000000004</v>
      </c>
      <c r="M198" t="s">
        <v>76</v>
      </c>
      <c r="N198" t="s">
        <v>74</v>
      </c>
      <c r="O198" t="s">
        <v>204</v>
      </c>
    </row>
    <row r="199" spans="1:15" x14ac:dyDescent="0.25">
      <c r="A199" t="s">
        <v>587</v>
      </c>
      <c r="B199" s="9">
        <v>45529</v>
      </c>
      <c r="C199" t="s">
        <v>65</v>
      </c>
      <c r="D199" t="s">
        <v>66</v>
      </c>
      <c r="E199" t="s">
        <v>42</v>
      </c>
      <c r="F199" t="s">
        <v>43</v>
      </c>
      <c r="G199" t="s">
        <v>44</v>
      </c>
      <c r="H199">
        <v>340</v>
      </c>
      <c r="I199" s="3">
        <v>1.99</v>
      </c>
      <c r="J199" s="3">
        <f t="shared" si="8"/>
        <v>676.6</v>
      </c>
      <c r="K199" s="3">
        <f>H199*0.72</f>
        <v>244.79999999999998</v>
      </c>
      <c r="L199" s="3">
        <f t="shared" si="9"/>
        <v>431.80000000000007</v>
      </c>
      <c r="M199" t="s">
        <v>64</v>
      </c>
      <c r="N199" t="s">
        <v>60</v>
      </c>
      <c r="O199" t="s">
        <v>204</v>
      </c>
    </row>
    <row r="200" spans="1:15" x14ac:dyDescent="0.25">
      <c r="A200" t="s">
        <v>588</v>
      </c>
      <c r="B200" s="9">
        <v>45532</v>
      </c>
      <c r="C200" t="s">
        <v>139</v>
      </c>
      <c r="D200" t="s">
        <v>140</v>
      </c>
      <c r="E200" t="s">
        <v>36</v>
      </c>
      <c r="F200" t="s">
        <v>34</v>
      </c>
      <c r="G200" t="s">
        <v>35</v>
      </c>
      <c r="H200">
        <v>680</v>
      </c>
      <c r="I200" s="3">
        <v>3.49</v>
      </c>
      <c r="J200" s="3">
        <f t="shared" si="8"/>
        <v>2373.2000000000003</v>
      </c>
      <c r="K200" s="3">
        <f>H200*1.15</f>
        <v>781.99999999999989</v>
      </c>
      <c r="L200" s="3">
        <f t="shared" si="9"/>
        <v>1591.2000000000003</v>
      </c>
      <c r="M200" t="s">
        <v>90</v>
      </c>
      <c r="N200" t="s">
        <v>87</v>
      </c>
      <c r="O200" t="s">
        <v>204</v>
      </c>
    </row>
    <row r="201" spans="1:15" x14ac:dyDescent="0.25">
      <c r="A201" t="s">
        <v>589</v>
      </c>
      <c r="B201" s="9">
        <v>45537</v>
      </c>
      <c r="C201" t="s">
        <v>77</v>
      </c>
      <c r="D201" t="s">
        <v>78</v>
      </c>
      <c r="E201" t="s">
        <v>21</v>
      </c>
      <c r="F201" t="s">
        <v>19</v>
      </c>
      <c r="G201" t="s">
        <v>20</v>
      </c>
      <c r="H201">
        <v>920</v>
      </c>
      <c r="I201" s="3">
        <v>1.49</v>
      </c>
      <c r="J201" s="3">
        <f t="shared" si="8"/>
        <v>1370.8</v>
      </c>
      <c r="K201" s="3">
        <f>H201*0.48</f>
        <v>441.59999999999997</v>
      </c>
      <c r="L201" s="3">
        <f t="shared" si="9"/>
        <v>929.2</v>
      </c>
      <c r="M201" t="s">
        <v>83</v>
      </c>
      <c r="N201" t="s">
        <v>80</v>
      </c>
      <c r="O201" t="s">
        <v>204</v>
      </c>
    </row>
    <row r="202" spans="1:15" x14ac:dyDescent="0.25">
      <c r="A202" t="s">
        <v>590</v>
      </c>
      <c r="B202" s="9">
        <v>45540</v>
      </c>
      <c r="C202" t="s">
        <v>91</v>
      </c>
      <c r="D202" t="s">
        <v>92</v>
      </c>
      <c r="E202" t="s">
        <v>29</v>
      </c>
      <c r="F202" t="s">
        <v>30</v>
      </c>
      <c r="G202" t="s">
        <v>31</v>
      </c>
      <c r="H202">
        <v>520</v>
      </c>
      <c r="I202" s="3">
        <v>2.99</v>
      </c>
      <c r="J202" s="3">
        <f t="shared" si="8"/>
        <v>1554.8000000000002</v>
      </c>
      <c r="K202" s="3">
        <f>H202*0.95</f>
        <v>494</v>
      </c>
      <c r="L202" s="3">
        <f t="shared" si="9"/>
        <v>1060.8000000000002</v>
      </c>
      <c r="M202" t="s">
        <v>90</v>
      </c>
      <c r="N202" t="s">
        <v>87</v>
      </c>
      <c r="O202" t="s">
        <v>204</v>
      </c>
    </row>
    <row r="203" spans="1:15" x14ac:dyDescent="0.25">
      <c r="A203" t="s">
        <v>591</v>
      </c>
      <c r="B203" s="9">
        <v>45543</v>
      </c>
      <c r="C203" t="s">
        <v>106</v>
      </c>
      <c r="D203" t="s">
        <v>107</v>
      </c>
      <c r="E203" t="s">
        <v>12</v>
      </c>
      <c r="F203" t="s">
        <v>9</v>
      </c>
      <c r="G203" t="s">
        <v>10</v>
      </c>
      <c r="H203">
        <v>680</v>
      </c>
      <c r="I203" s="3">
        <v>1.99</v>
      </c>
      <c r="J203" s="3">
        <f t="shared" si="8"/>
        <v>1353.2</v>
      </c>
      <c r="K203" s="3">
        <f>H203*0.72</f>
        <v>489.59999999999997</v>
      </c>
      <c r="L203" s="3">
        <f t="shared" si="9"/>
        <v>863.60000000000014</v>
      </c>
      <c r="M203" t="s">
        <v>64</v>
      </c>
      <c r="N203" t="s">
        <v>60</v>
      </c>
      <c r="O203" t="s">
        <v>204</v>
      </c>
    </row>
    <row r="204" spans="1:15" x14ac:dyDescent="0.25">
      <c r="A204" t="s">
        <v>592</v>
      </c>
      <c r="B204" s="9">
        <v>45546</v>
      </c>
      <c r="C204" t="s">
        <v>115</v>
      </c>
      <c r="D204" t="s">
        <v>116</v>
      </c>
      <c r="E204" t="s">
        <v>33</v>
      </c>
      <c r="F204" t="s">
        <v>34</v>
      </c>
      <c r="G204" t="s">
        <v>35</v>
      </c>
      <c r="H204">
        <v>450</v>
      </c>
      <c r="I204" s="3">
        <v>2.4900000000000002</v>
      </c>
      <c r="J204" s="3">
        <f t="shared" si="8"/>
        <v>1120.5</v>
      </c>
      <c r="K204" s="3">
        <f>H204*0.82</f>
        <v>369</v>
      </c>
      <c r="L204" s="3">
        <f t="shared" si="9"/>
        <v>751.5</v>
      </c>
      <c r="M204" t="s">
        <v>83</v>
      </c>
      <c r="N204" t="s">
        <v>80</v>
      </c>
      <c r="O204" t="s">
        <v>204</v>
      </c>
    </row>
    <row r="205" spans="1:15" x14ac:dyDescent="0.25">
      <c r="A205" t="s">
        <v>593</v>
      </c>
      <c r="B205" s="9">
        <v>45549</v>
      </c>
      <c r="C205" t="s">
        <v>124</v>
      </c>
      <c r="D205" t="s">
        <v>125</v>
      </c>
      <c r="E205" t="s">
        <v>18</v>
      </c>
      <c r="F205" t="s">
        <v>19</v>
      </c>
      <c r="G205" t="s">
        <v>20</v>
      </c>
      <c r="H205">
        <v>580</v>
      </c>
      <c r="I205" s="3">
        <v>1.19</v>
      </c>
      <c r="J205" s="3">
        <f t="shared" si="8"/>
        <v>690.19999999999993</v>
      </c>
      <c r="K205" s="3">
        <f>H205*0.38</f>
        <v>220.4</v>
      </c>
      <c r="L205" s="3">
        <f t="shared" si="9"/>
        <v>469.79999999999995</v>
      </c>
      <c r="M205" t="s">
        <v>64</v>
      </c>
      <c r="N205" t="s">
        <v>60</v>
      </c>
      <c r="O205" t="s">
        <v>204</v>
      </c>
    </row>
    <row r="206" spans="1:15" x14ac:dyDescent="0.25">
      <c r="A206" t="s">
        <v>594</v>
      </c>
      <c r="B206" s="9">
        <v>45552</v>
      </c>
      <c r="C206" t="s">
        <v>151</v>
      </c>
      <c r="D206" t="s">
        <v>152</v>
      </c>
      <c r="E206" t="s">
        <v>40</v>
      </c>
      <c r="F206" t="s">
        <v>41</v>
      </c>
      <c r="G206" t="s">
        <v>39</v>
      </c>
      <c r="H206">
        <v>390</v>
      </c>
      <c r="I206" s="3">
        <v>1.79</v>
      </c>
      <c r="J206" s="3">
        <f t="shared" si="8"/>
        <v>698.1</v>
      </c>
      <c r="K206" s="3">
        <f>H206*0.59</f>
        <v>230.1</v>
      </c>
      <c r="L206" s="3">
        <f t="shared" si="9"/>
        <v>468</v>
      </c>
      <c r="M206" t="s">
        <v>83</v>
      </c>
      <c r="N206" t="s">
        <v>80</v>
      </c>
      <c r="O206" t="s">
        <v>204</v>
      </c>
    </row>
    <row r="207" spans="1:15" x14ac:dyDescent="0.25">
      <c r="A207" t="s">
        <v>595</v>
      </c>
      <c r="B207" s="9">
        <v>45555</v>
      </c>
      <c r="C207" t="s">
        <v>155</v>
      </c>
      <c r="D207" t="s">
        <v>156</v>
      </c>
      <c r="E207" t="s">
        <v>36</v>
      </c>
      <c r="F207" t="s">
        <v>34</v>
      </c>
      <c r="G207" t="s">
        <v>35</v>
      </c>
      <c r="H207">
        <v>750</v>
      </c>
      <c r="I207" s="3">
        <v>3.49</v>
      </c>
      <c r="J207" s="3">
        <f t="shared" si="8"/>
        <v>2617.5</v>
      </c>
      <c r="K207" s="3">
        <f>H207*1.15</f>
        <v>862.49999999999989</v>
      </c>
      <c r="L207" s="3">
        <f t="shared" si="9"/>
        <v>1755</v>
      </c>
      <c r="M207" t="s">
        <v>90</v>
      </c>
      <c r="N207" t="s">
        <v>87</v>
      </c>
      <c r="O207" t="s">
        <v>204</v>
      </c>
    </row>
    <row r="208" spans="1:15" x14ac:dyDescent="0.25">
      <c r="A208" t="s">
        <v>596</v>
      </c>
      <c r="B208" s="9">
        <v>45558</v>
      </c>
      <c r="C208" t="s">
        <v>57</v>
      </c>
      <c r="D208" t="s">
        <v>58</v>
      </c>
      <c r="E208" t="s">
        <v>25</v>
      </c>
      <c r="F208" t="s">
        <v>24</v>
      </c>
      <c r="G208" t="s">
        <v>20</v>
      </c>
      <c r="H208">
        <v>1180</v>
      </c>
      <c r="I208" s="3">
        <v>1.49</v>
      </c>
      <c r="J208" s="3">
        <f t="shared" si="8"/>
        <v>1758.2</v>
      </c>
      <c r="K208" s="3">
        <f>H208*0.49</f>
        <v>578.20000000000005</v>
      </c>
      <c r="L208" s="3">
        <f t="shared" si="9"/>
        <v>1180</v>
      </c>
      <c r="M208" t="s">
        <v>64</v>
      </c>
      <c r="N208" t="s">
        <v>60</v>
      </c>
      <c r="O208" t="s">
        <v>204</v>
      </c>
    </row>
    <row r="209" spans="1:15" x14ac:dyDescent="0.25">
      <c r="A209" t="s">
        <v>597</v>
      </c>
      <c r="B209" s="9">
        <v>45561</v>
      </c>
      <c r="C209" t="s">
        <v>71</v>
      </c>
      <c r="D209" t="s">
        <v>72</v>
      </c>
      <c r="E209" t="s">
        <v>32</v>
      </c>
      <c r="F209" t="s">
        <v>30</v>
      </c>
      <c r="G209" t="s">
        <v>31</v>
      </c>
      <c r="H209">
        <v>480</v>
      </c>
      <c r="I209" s="3">
        <v>3.99</v>
      </c>
      <c r="J209" s="3">
        <f t="shared" si="8"/>
        <v>1915.2</v>
      </c>
      <c r="K209" s="3">
        <f>H209*1.28</f>
        <v>614.4</v>
      </c>
      <c r="L209" s="3">
        <f t="shared" si="9"/>
        <v>1300.8000000000002</v>
      </c>
      <c r="M209" t="s">
        <v>76</v>
      </c>
      <c r="N209" t="s">
        <v>74</v>
      </c>
      <c r="O209" t="s">
        <v>204</v>
      </c>
    </row>
    <row r="210" spans="1:15" x14ac:dyDescent="0.25">
      <c r="A210" t="s">
        <v>598</v>
      </c>
      <c r="B210" s="9">
        <v>45564</v>
      </c>
      <c r="C210" t="s">
        <v>84</v>
      </c>
      <c r="D210" t="s">
        <v>85</v>
      </c>
      <c r="E210" t="s">
        <v>8</v>
      </c>
      <c r="F210" t="s">
        <v>9</v>
      </c>
      <c r="G210" t="s">
        <v>10</v>
      </c>
      <c r="H210">
        <v>1420</v>
      </c>
      <c r="I210" s="3">
        <v>1.29</v>
      </c>
      <c r="J210" s="3">
        <f t="shared" si="8"/>
        <v>1831.8</v>
      </c>
      <c r="K210" s="3">
        <f>H210*0.45</f>
        <v>639</v>
      </c>
      <c r="L210" s="3">
        <f t="shared" si="9"/>
        <v>1192.8</v>
      </c>
      <c r="M210" t="s">
        <v>90</v>
      </c>
      <c r="N210" t="s">
        <v>87</v>
      </c>
      <c r="O210" t="s">
        <v>204</v>
      </c>
    </row>
    <row r="211" spans="1:15" x14ac:dyDescent="0.25">
      <c r="A211" t="s">
        <v>599</v>
      </c>
      <c r="B211" s="9">
        <v>45567</v>
      </c>
      <c r="C211" t="s">
        <v>96</v>
      </c>
      <c r="D211" t="s">
        <v>97</v>
      </c>
      <c r="E211" t="s">
        <v>17</v>
      </c>
      <c r="F211" t="s">
        <v>15</v>
      </c>
      <c r="G211" t="s">
        <v>16</v>
      </c>
      <c r="H211">
        <v>620</v>
      </c>
      <c r="I211" s="3">
        <v>2.29</v>
      </c>
      <c r="J211" s="3">
        <f t="shared" si="8"/>
        <v>1419.8</v>
      </c>
      <c r="K211" s="3">
        <f>H211*0.81</f>
        <v>502.20000000000005</v>
      </c>
      <c r="L211" s="3">
        <f t="shared" si="9"/>
        <v>917.59999999999991</v>
      </c>
      <c r="M211" t="s">
        <v>83</v>
      </c>
      <c r="N211" t="s">
        <v>80</v>
      </c>
      <c r="O211" t="s">
        <v>204</v>
      </c>
    </row>
    <row r="212" spans="1:15" x14ac:dyDescent="0.25">
      <c r="A212" t="s">
        <v>600</v>
      </c>
      <c r="B212" s="9">
        <v>45570</v>
      </c>
      <c r="C212" t="s">
        <v>102</v>
      </c>
      <c r="D212" t="s">
        <v>103</v>
      </c>
      <c r="E212" t="s">
        <v>23</v>
      </c>
      <c r="F212" t="s">
        <v>24</v>
      </c>
      <c r="G212" t="s">
        <v>20</v>
      </c>
      <c r="H212">
        <v>980</v>
      </c>
      <c r="I212" s="3">
        <v>1.19</v>
      </c>
      <c r="J212" s="3">
        <f t="shared" si="8"/>
        <v>1166.2</v>
      </c>
      <c r="K212" s="3">
        <f>H212*0.39</f>
        <v>382.2</v>
      </c>
      <c r="L212" s="3">
        <f t="shared" si="9"/>
        <v>784</v>
      </c>
      <c r="M212" t="s">
        <v>76</v>
      </c>
      <c r="N212" t="s">
        <v>74</v>
      </c>
      <c r="O212" t="s">
        <v>204</v>
      </c>
    </row>
    <row r="213" spans="1:15" x14ac:dyDescent="0.25">
      <c r="A213" t="s">
        <v>601</v>
      </c>
      <c r="B213" s="9">
        <v>45573</v>
      </c>
      <c r="C213" t="s">
        <v>110</v>
      </c>
      <c r="D213" t="s">
        <v>111</v>
      </c>
      <c r="E213" t="s">
        <v>37</v>
      </c>
      <c r="F213" t="s">
        <v>38</v>
      </c>
      <c r="G213" t="s">
        <v>39</v>
      </c>
      <c r="H213">
        <v>450</v>
      </c>
      <c r="I213" s="3">
        <v>1.79</v>
      </c>
      <c r="J213" s="3">
        <f t="shared" si="8"/>
        <v>805.5</v>
      </c>
      <c r="K213" s="3">
        <f>H213*0.58</f>
        <v>261</v>
      </c>
      <c r="L213" s="3">
        <f t="shared" si="9"/>
        <v>544.5</v>
      </c>
      <c r="M213" t="s">
        <v>76</v>
      </c>
      <c r="N213" t="s">
        <v>74</v>
      </c>
      <c r="O213" t="s">
        <v>204</v>
      </c>
    </row>
    <row r="214" spans="1:15" x14ac:dyDescent="0.25">
      <c r="A214" t="s">
        <v>602</v>
      </c>
      <c r="B214" s="9">
        <v>45576</v>
      </c>
      <c r="C214" t="s">
        <v>120</v>
      </c>
      <c r="D214" t="s">
        <v>121</v>
      </c>
      <c r="E214" t="s">
        <v>33</v>
      </c>
      <c r="F214" t="s">
        <v>34</v>
      </c>
      <c r="G214" t="s">
        <v>35</v>
      </c>
      <c r="H214">
        <v>890</v>
      </c>
      <c r="I214" s="3">
        <v>2.4900000000000002</v>
      </c>
      <c r="J214" s="3">
        <f t="shared" si="8"/>
        <v>2216.1000000000004</v>
      </c>
      <c r="K214" s="3">
        <f>H214*0.82</f>
        <v>729.8</v>
      </c>
      <c r="L214" s="3">
        <f t="shared" si="9"/>
        <v>1486.3000000000004</v>
      </c>
      <c r="M214" t="s">
        <v>90</v>
      </c>
      <c r="N214" t="s">
        <v>87</v>
      </c>
      <c r="O214" t="s">
        <v>204</v>
      </c>
    </row>
    <row r="215" spans="1:15" x14ac:dyDescent="0.25">
      <c r="A215" t="s">
        <v>603</v>
      </c>
      <c r="B215" s="9">
        <v>45579</v>
      </c>
      <c r="C215" t="s">
        <v>129</v>
      </c>
      <c r="D215" t="s">
        <v>130</v>
      </c>
      <c r="E215" t="s">
        <v>22</v>
      </c>
      <c r="F215" t="s">
        <v>19</v>
      </c>
      <c r="G215" t="s">
        <v>20</v>
      </c>
      <c r="H215">
        <v>1350</v>
      </c>
      <c r="I215" s="3">
        <v>2.79</v>
      </c>
      <c r="J215" s="3">
        <f t="shared" si="8"/>
        <v>3766.5</v>
      </c>
      <c r="K215" s="3">
        <f>H215*0.92</f>
        <v>1242</v>
      </c>
      <c r="L215" s="3">
        <f t="shared" si="9"/>
        <v>2524.5</v>
      </c>
      <c r="M215" t="s">
        <v>76</v>
      </c>
      <c r="N215" t="s">
        <v>74</v>
      </c>
      <c r="O215" t="s">
        <v>204</v>
      </c>
    </row>
    <row r="216" spans="1:15" x14ac:dyDescent="0.25">
      <c r="A216" t="s">
        <v>604</v>
      </c>
      <c r="B216" s="9">
        <v>45582</v>
      </c>
      <c r="C216" t="s">
        <v>134</v>
      </c>
      <c r="D216" t="s">
        <v>135</v>
      </c>
      <c r="E216" t="s">
        <v>45</v>
      </c>
      <c r="F216" t="s">
        <v>46</v>
      </c>
      <c r="G216" t="s">
        <v>44</v>
      </c>
      <c r="H216">
        <v>520</v>
      </c>
      <c r="I216" s="3">
        <v>1.99</v>
      </c>
      <c r="J216" s="3">
        <f t="shared" si="8"/>
        <v>1034.8</v>
      </c>
      <c r="K216" s="3">
        <f>H216*0.74</f>
        <v>384.8</v>
      </c>
      <c r="L216" s="3">
        <f t="shared" si="9"/>
        <v>650</v>
      </c>
      <c r="M216" t="s">
        <v>83</v>
      </c>
      <c r="N216" t="s">
        <v>80</v>
      </c>
      <c r="O216" t="s">
        <v>204</v>
      </c>
    </row>
    <row r="217" spans="1:15" x14ac:dyDescent="0.25">
      <c r="A217" t="s">
        <v>605</v>
      </c>
      <c r="B217" s="9">
        <v>45585</v>
      </c>
      <c r="C217" t="s">
        <v>143</v>
      </c>
      <c r="D217" t="s">
        <v>144</v>
      </c>
      <c r="E217" t="s">
        <v>29</v>
      </c>
      <c r="F217" t="s">
        <v>30</v>
      </c>
      <c r="G217" t="s">
        <v>31</v>
      </c>
      <c r="H217">
        <v>720</v>
      </c>
      <c r="I217" s="3">
        <v>2.99</v>
      </c>
      <c r="J217" s="3">
        <f t="shared" ref="J217:J248" si="10">H217*I217</f>
        <v>2152.8000000000002</v>
      </c>
      <c r="K217" s="3">
        <f>H217*0.95</f>
        <v>684</v>
      </c>
      <c r="L217" s="3">
        <f t="shared" ref="L217:L248" si="11">J217-K217</f>
        <v>1468.8000000000002</v>
      </c>
      <c r="M217" t="s">
        <v>64</v>
      </c>
      <c r="N217" t="s">
        <v>60</v>
      </c>
      <c r="O217" t="s">
        <v>204</v>
      </c>
    </row>
    <row r="218" spans="1:15" x14ac:dyDescent="0.25">
      <c r="A218" t="s">
        <v>606</v>
      </c>
      <c r="B218" s="9">
        <v>45588</v>
      </c>
      <c r="C218" t="s">
        <v>147</v>
      </c>
      <c r="D218" t="s">
        <v>148</v>
      </c>
      <c r="E218" t="s">
        <v>14</v>
      </c>
      <c r="F218" t="s">
        <v>15</v>
      </c>
      <c r="G218" t="s">
        <v>16</v>
      </c>
      <c r="H218">
        <v>1080</v>
      </c>
      <c r="I218" s="3">
        <v>1.49</v>
      </c>
      <c r="J218" s="3">
        <f t="shared" si="10"/>
        <v>1609.2</v>
      </c>
      <c r="K218" s="3">
        <f>H218*0.52</f>
        <v>561.6</v>
      </c>
      <c r="L218" s="3">
        <f t="shared" si="11"/>
        <v>1047.5999999999999</v>
      </c>
      <c r="M218" t="s">
        <v>76</v>
      </c>
      <c r="N218" t="s">
        <v>74</v>
      </c>
      <c r="O218" t="s">
        <v>204</v>
      </c>
    </row>
    <row r="219" spans="1:15" x14ac:dyDescent="0.25">
      <c r="A219" t="s">
        <v>607</v>
      </c>
      <c r="B219" s="9">
        <v>45591</v>
      </c>
      <c r="C219" t="s">
        <v>65</v>
      </c>
      <c r="D219" t="s">
        <v>66</v>
      </c>
      <c r="E219" t="s">
        <v>26</v>
      </c>
      <c r="F219" t="s">
        <v>27</v>
      </c>
      <c r="G219" t="s">
        <v>20</v>
      </c>
      <c r="H219">
        <v>480</v>
      </c>
      <c r="I219" s="3">
        <v>1.19</v>
      </c>
      <c r="J219" s="3">
        <f t="shared" si="10"/>
        <v>571.19999999999993</v>
      </c>
      <c r="K219" s="3">
        <f>H219*0.38</f>
        <v>182.4</v>
      </c>
      <c r="L219" s="3">
        <f t="shared" si="11"/>
        <v>388.79999999999995</v>
      </c>
      <c r="M219" t="s">
        <v>64</v>
      </c>
      <c r="N219" t="s">
        <v>60</v>
      </c>
      <c r="O219" t="s">
        <v>204</v>
      </c>
    </row>
    <row r="220" spans="1:15" x14ac:dyDescent="0.25">
      <c r="A220" t="s">
        <v>608</v>
      </c>
      <c r="B220" s="9">
        <v>45594</v>
      </c>
      <c r="C220" t="s">
        <v>139</v>
      </c>
      <c r="D220" t="s">
        <v>140</v>
      </c>
      <c r="E220" t="s">
        <v>8</v>
      </c>
      <c r="F220" t="s">
        <v>9</v>
      </c>
      <c r="G220" t="s">
        <v>10</v>
      </c>
      <c r="H220">
        <v>950</v>
      </c>
      <c r="I220" s="3">
        <v>1.29</v>
      </c>
      <c r="J220" s="3">
        <f t="shared" si="10"/>
        <v>1225.5</v>
      </c>
      <c r="K220" s="3">
        <f>H220*0.45</f>
        <v>427.5</v>
      </c>
      <c r="L220" s="3">
        <f t="shared" si="11"/>
        <v>798</v>
      </c>
      <c r="M220" t="s">
        <v>90</v>
      </c>
      <c r="N220" t="s">
        <v>87</v>
      </c>
      <c r="O220" t="s">
        <v>204</v>
      </c>
    </row>
    <row r="221" spans="1:15" x14ac:dyDescent="0.25">
      <c r="A221" t="s">
        <v>609</v>
      </c>
      <c r="B221" s="9">
        <v>45597</v>
      </c>
      <c r="C221" t="s">
        <v>77</v>
      </c>
      <c r="D221" t="s">
        <v>78</v>
      </c>
      <c r="E221" t="s">
        <v>32</v>
      </c>
      <c r="F221" t="s">
        <v>30</v>
      </c>
      <c r="G221" t="s">
        <v>31</v>
      </c>
      <c r="H221">
        <v>380</v>
      </c>
      <c r="I221" s="3">
        <v>3.99</v>
      </c>
      <c r="J221" s="3">
        <f t="shared" si="10"/>
        <v>1516.2</v>
      </c>
      <c r="K221" s="3">
        <f>H221*1.28</f>
        <v>486.40000000000003</v>
      </c>
      <c r="L221" s="3">
        <f t="shared" si="11"/>
        <v>1029.8</v>
      </c>
      <c r="M221" t="s">
        <v>83</v>
      </c>
      <c r="N221" t="s">
        <v>80</v>
      </c>
      <c r="O221" t="s">
        <v>204</v>
      </c>
    </row>
    <row r="222" spans="1:15" x14ac:dyDescent="0.25">
      <c r="A222" t="s">
        <v>610</v>
      </c>
      <c r="B222" s="9">
        <v>45600</v>
      </c>
      <c r="C222" t="s">
        <v>91</v>
      </c>
      <c r="D222" t="s">
        <v>92</v>
      </c>
      <c r="E222" t="s">
        <v>21</v>
      </c>
      <c r="F222" t="s">
        <v>19</v>
      </c>
      <c r="G222" t="s">
        <v>20</v>
      </c>
      <c r="H222">
        <v>680</v>
      </c>
      <c r="I222" s="3">
        <v>1.49</v>
      </c>
      <c r="J222" s="3">
        <f t="shared" si="10"/>
        <v>1013.2</v>
      </c>
      <c r="K222" s="3">
        <f>H222*0.48</f>
        <v>326.39999999999998</v>
      </c>
      <c r="L222" s="3">
        <f t="shared" si="11"/>
        <v>686.80000000000007</v>
      </c>
      <c r="M222" t="s">
        <v>90</v>
      </c>
      <c r="N222" t="s">
        <v>87</v>
      </c>
      <c r="O222" t="s">
        <v>204</v>
      </c>
    </row>
    <row r="223" spans="1:15" x14ac:dyDescent="0.25">
      <c r="A223" t="s">
        <v>611</v>
      </c>
      <c r="B223" s="9">
        <v>45603</v>
      </c>
      <c r="C223" t="s">
        <v>106</v>
      </c>
      <c r="D223" t="s">
        <v>107</v>
      </c>
      <c r="E223" t="s">
        <v>36</v>
      </c>
      <c r="F223" t="s">
        <v>34</v>
      </c>
      <c r="G223" t="s">
        <v>35</v>
      </c>
      <c r="H223">
        <v>420</v>
      </c>
      <c r="I223" s="3">
        <v>3.49</v>
      </c>
      <c r="J223" s="3">
        <f t="shared" si="10"/>
        <v>1465.8000000000002</v>
      </c>
      <c r="K223" s="3">
        <f>H223*1.15</f>
        <v>482.99999999999994</v>
      </c>
      <c r="L223" s="3">
        <f t="shared" si="11"/>
        <v>982.80000000000018</v>
      </c>
      <c r="M223" t="s">
        <v>64</v>
      </c>
      <c r="N223" t="s">
        <v>60</v>
      </c>
      <c r="O223" t="s">
        <v>204</v>
      </c>
    </row>
    <row r="224" spans="1:15" x14ac:dyDescent="0.25">
      <c r="A224" t="s">
        <v>612</v>
      </c>
      <c r="B224" s="9">
        <v>45606</v>
      </c>
      <c r="C224" t="s">
        <v>115</v>
      </c>
      <c r="D224" t="s">
        <v>116</v>
      </c>
      <c r="E224" t="s">
        <v>13</v>
      </c>
      <c r="F224" t="s">
        <v>9</v>
      </c>
      <c r="G224" t="s">
        <v>10</v>
      </c>
      <c r="H224">
        <v>580</v>
      </c>
      <c r="I224" s="3">
        <v>2.4900000000000002</v>
      </c>
      <c r="J224" s="3">
        <f t="shared" si="10"/>
        <v>1444.2</v>
      </c>
      <c r="K224" s="3">
        <f>H224*0.89</f>
        <v>516.20000000000005</v>
      </c>
      <c r="L224" s="3">
        <f t="shared" si="11"/>
        <v>928</v>
      </c>
      <c r="M224" t="s">
        <v>83</v>
      </c>
      <c r="N224" t="s">
        <v>80</v>
      </c>
      <c r="O224" t="s">
        <v>204</v>
      </c>
    </row>
    <row r="225" spans="1:15" x14ac:dyDescent="0.25">
      <c r="A225" t="s">
        <v>613</v>
      </c>
      <c r="B225" s="9">
        <v>45609</v>
      </c>
      <c r="C225" t="s">
        <v>124</v>
      </c>
      <c r="D225" t="s">
        <v>125</v>
      </c>
      <c r="E225" t="s">
        <v>42</v>
      </c>
      <c r="F225" t="s">
        <v>43</v>
      </c>
      <c r="G225" t="s">
        <v>44</v>
      </c>
      <c r="H225">
        <v>290</v>
      </c>
      <c r="I225" s="3">
        <v>1.99</v>
      </c>
      <c r="J225" s="3">
        <f t="shared" si="10"/>
        <v>577.1</v>
      </c>
      <c r="K225" s="3">
        <f>H225*0.72</f>
        <v>208.79999999999998</v>
      </c>
      <c r="L225" s="3">
        <f t="shared" si="11"/>
        <v>368.30000000000007</v>
      </c>
      <c r="M225" t="s">
        <v>64</v>
      </c>
      <c r="N225" t="s">
        <v>60</v>
      </c>
      <c r="O225" t="s">
        <v>204</v>
      </c>
    </row>
    <row r="226" spans="1:15" x14ac:dyDescent="0.25">
      <c r="A226" t="s">
        <v>614</v>
      </c>
      <c r="B226" s="9">
        <v>45612</v>
      </c>
      <c r="C226" t="s">
        <v>151</v>
      </c>
      <c r="D226" t="s">
        <v>152</v>
      </c>
      <c r="E226" t="s">
        <v>25</v>
      </c>
      <c r="F226" t="s">
        <v>24</v>
      </c>
      <c r="G226" t="s">
        <v>20</v>
      </c>
      <c r="H226">
        <v>720</v>
      </c>
      <c r="I226" s="3">
        <v>1.49</v>
      </c>
      <c r="J226" s="3">
        <f t="shared" si="10"/>
        <v>1072.8</v>
      </c>
      <c r="K226" s="3">
        <f>H226*0.49</f>
        <v>352.8</v>
      </c>
      <c r="L226" s="3">
        <f t="shared" si="11"/>
        <v>720</v>
      </c>
      <c r="M226" t="s">
        <v>83</v>
      </c>
      <c r="N226" t="s">
        <v>80</v>
      </c>
      <c r="O226" t="s">
        <v>204</v>
      </c>
    </row>
    <row r="227" spans="1:15" x14ac:dyDescent="0.25">
      <c r="A227" t="s">
        <v>615</v>
      </c>
      <c r="B227" s="9">
        <v>45615</v>
      </c>
      <c r="C227" t="s">
        <v>155</v>
      </c>
      <c r="D227" t="s">
        <v>156</v>
      </c>
      <c r="E227" t="s">
        <v>18</v>
      </c>
      <c r="F227" t="s">
        <v>19</v>
      </c>
      <c r="G227" t="s">
        <v>20</v>
      </c>
      <c r="H227">
        <v>1150</v>
      </c>
      <c r="I227" s="3">
        <v>1.19</v>
      </c>
      <c r="J227" s="3">
        <f t="shared" si="10"/>
        <v>1368.5</v>
      </c>
      <c r="K227" s="3">
        <f>H227*0.38</f>
        <v>437</v>
      </c>
      <c r="L227" s="3">
        <f t="shared" si="11"/>
        <v>931.5</v>
      </c>
      <c r="M227" t="s">
        <v>90</v>
      </c>
      <c r="N227" t="s">
        <v>87</v>
      </c>
      <c r="O227" t="s">
        <v>204</v>
      </c>
    </row>
    <row r="228" spans="1:15" x14ac:dyDescent="0.25">
      <c r="A228" t="s">
        <v>616</v>
      </c>
      <c r="B228" s="9">
        <v>45618</v>
      </c>
      <c r="C228" t="s">
        <v>57</v>
      </c>
      <c r="D228" t="s">
        <v>58</v>
      </c>
      <c r="E228" t="s">
        <v>33</v>
      </c>
      <c r="F228" t="s">
        <v>34</v>
      </c>
      <c r="G228" t="s">
        <v>35</v>
      </c>
      <c r="H228">
        <v>680</v>
      </c>
      <c r="I228" s="3">
        <v>2.4900000000000002</v>
      </c>
      <c r="J228" s="3">
        <f t="shared" si="10"/>
        <v>1693.2</v>
      </c>
      <c r="K228" s="3">
        <f>H228*0.82</f>
        <v>557.6</v>
      </c>
      <c r="L228" s="3">
        <f t="shared" si="11"/>
        <v>1135.5999999999999</v>
      </c>
      <c r="M228" t="s">
        <v>64</v>
      </c>
      <c r="N228" t="s">
        <v>60</v>
      </c>
      <c r="O228" t="s">
        <v>204</v>
      </c>
    </row>
    <row r="229" spans="1:15" x14ac:dyDescent="0.25">
      <c r="A229" t="s">
        <v>617</v>
      </c>
      <c r="B229" s="9">
        <v>45621</v>
      </c>
      <c r="C229" t="s">
        <v>71</v>
      </c>
      <c r="D229" t="s">
        <v>72</v>
      </c>
      <c r="E229" t="s">
        <v>40</v>
      </c>
      <c r="F229" t="s">
        <v>41</v>
      </c>
      <c r="G229" t="s">
        <v>39</v>
      </c>
      <c r="H229">
        <v>350</v>
      </c>
      <c r="I229" s="3">
        <v>1.79</v>
      </c>
      <c r="J229" s="3">
        <f t="shared" si="10"/>
        <v>626.5</v>
      </c>
      <c r="K229" s="3">
        <f>H229*0.59</f>
        <v>206.5</v>
      </c>
      <c r="L229" s="3">
        <f t="shared" si="11"/>
        <v>420</v>
      </c>
      <c r="M229" t="s">
        <v>76</v>
      </c>
      <c r="N229" t="s">
        <v>74</v>
      </c>
      <c r="O229" t="s">
        <v>204</v>
      </c>
    </row>
    <row r="230" spans="1:15" x14ac:dyDescent="0.25">
      <c r="A230" t="s">
        <v>618</v>
      </c>
      <c r="B230" s="9">
        <v>45624</v>
      </c>
      <c r="C230" t="s">
        <v>84</v>
      </c>
      <c r="D230" t="s">
        <v>85</v>
      </c>
      <c r="E230" t="s">
        <v>22</v>
      </c>
      <c r="F230" t="s">
        <v>19</v>
      </c>
      <c r="G230" t="s">
        <v>20</v>
      </c>
      <c r="H230">
        <v>1480</v>
      </c>
      <c r="I230" s="3">
        <v>2.79</v>
      </c>
      <c r="J230" s="3">
        <f t="shared" si="10"/>
        <v>4129.2</v>
      </c>
      <c r="K230" s="3">
        <f>H230*0.92</f>
        <v>1361.6000000000001</v>
      </c>
      <c r="L230" s="3">
        <f t="shared" si="11"/>
        <v>2767.5999999999995</v>
      </c>
      <c r="M230" t="s">
        <v>90</v>
      </c>
      <c r="N230" t="s">
        <v>87</v>
      </c>
      <c r="O230" t="s">
        <v>234</v>
      </c>
    </row>
    <row r="231" spans="1:15" x14ac:dyDescent="0.25">
      <c r="A231" t="s">
        <v>619</v>
      </c>
      <c r="B231" s="9">
        <v>45627</v>
      </c>
      <c r="C231" t="s">
        <v>96</v>
      </c>
      <c r="D231" t="s">
        <v>97</v>
      </c>
      <c r="E231" t="s">
        <v>29</v>
      </c>
      <c r="F231" t="s">
        <v>30</v>
      </c>
      <c r="G231" t="s">
        <v>31</v>
      </c>
      <c r="H231">
        <v>520</v>
      </c>
      <c r="I231" s="3">
        <v>2.99</v>
      </c>
      <c r="J231" s="3">
        <f t="shared" si="10"/>
        <v>1554.8000000000002</v>
      </c>
      <c r="K231" s="3">
        <f>H231*0.95</f>
        <v>494</v>
      </c>
      <c r="L231" s="3">
        <f t="shared" si="11"/>
        <v>1060.8000000000002</v>
      </c>
      <c r="M231" t="s">
        <v>83</v>
      </c>
      <c r="N231" t="s">
        <v>80</v>
      </c>
      <c r="O231" t="s">
        <v>204</v>
      </c>
    </row>
    <row r="232" spans="1:15" x14ac:dyDescent="0.25">
      <c r="A232" t="s">
        <v>620</v>
      </c>
      <c r="B232" s="9">
        <v>45630</v>
      </c>
      <c r="C232" t="s">
        <v>102</v>
      </c>
      <c r="D232" t="s">
        <v>103</v>
      </c>
      <c r="E232" t="s">
        <v>17</v>
      </c>
      <c r="F232" t="s">
        <v>15</v>
      </c>
      <c r="G232" t="s">
        <v>16</v>
      </c>
      <c r="H232">
        <v>850</v>
      </c>
      <c r="I232" s="3">
        <v>2.29</v>
      </c>
      <c r="J232" s="3">
        <f t="shared" si="10"/>
        <v>1946.5</v>
      </c>
      <c r="K232" s="3">
        <f>H232*0.81</f>
        <v>688.5</v>
      </c>
      <c r="L232" s="3">
        <f t="shared" si="11"/>
        <v>1258</v>
      </c>
      <c r="M232" t="s">
        <v>76</v>
      </c>
      <c r="N232" t="s">
        <v>74</v>
      </c>
      <c r="O232" t="s">
        <v>204</v>
      </c>
    </row>
    <row r="233" spans="1:15" x14ac:dyDescent="0.25">
      <c r="A233" t="s">
        <v>621</v>
      </c>
      <c r="B233" s="9">
        <v>45633</v>
      </c>
      <c r="C233" t="s">
        <v>110</v>
      </c>
      <c r="D233" t="s">
        <v>111</v>
      </c>
      <c r="E233" t="s">
        <v>12</v>
      </c>
      <c r="F233" t="s">
        <v>9</v>
      </c>
      <c r="G233" t="s">
        <v>10</v>
      </c>
      <c r="H233">
        <v>1250</v>
      </c>
      <c r="I233" s="3">
        <v>1.99</v>
      </c>
      <c r="J233" s="3">
        <f t="shared" si="10"/>
        <v>2487.5</v>
      </c>
      <c r="K233" s="3">
        <f>H233*0.72</f>
        <v>900</v>
      </c>
      <c r="L233" s="3">
        <f t="shared" si="11"/>
        <v>1587.5</v>
      </c>
      <c r="M233" t="s">
        <v>76</v>
      </c>
      <c r="N233" t="s">
        <v>74</v>
      </c>
      <c r="O233" t="s">
        <v>204</v>
      </c>
    </row>
    <row r="234" spans="1:15" x14ac:dyDescent="0.25">
      <c r="A234" t="s">
        <v>622</v>
      </c>
      <c r="B234" s="9">
        <v>45636</v>
      </c>
      <c r="C234" t="s">
        <v>120</v>
      </c>
      <c r="D234" t="s">
        <v>121</v>
      </c>
      <c r="E234" t="s">
        <v>26</v>
      </c>
      <c r="F234" t="s">
        <v>27</v>
      </c>
      <c r="G234" t="s">
        <v>20</v>
      </c>
      <c r="H234">
        <v>920</v>
      </c>
      <c r="I234" s="3">
        <v>1.19</v>
      </c>
      <c r="J234" s="3">
        <f t="shared" si="10"/>
        <v>1094.8</v>
      </c>
      <c r="K234" s="3">
        <f>H234*0.37</f>
        <v>340.4</v>
      </c>
      <c r="L234" s="3">
        <f t="shared" si="11"/>
        <v>754.4</v>
      </c>
      <c r="M234" t="s">
        <v>90</v>
      </c>
      <c r="N234" t="s">
        <v>87</v>
      </c>
      <c r="O234" t="s">
        <v>204</v>
      </c>
    </row>
    <row r="235" spans="1:15" x14ac:dyDescent="0.25">
      <c r="A235" t="s">
        <v>623</v>
      </c>
      <c r="B235" s="9">
        <v>45639</v>
      </c>
      <c r="C235" t="s">
        <v>129</v>
      </c>
      <c r="D235" t="s">
        <v>130</v>
      </c>
      <c r="E235" t="s">
        <v>36</v>
      </c>
      <c r="F235" t="s">
        <v>34</v>
      </c>
      <c r="G235" t="s">
        <v>35</v>
      </c>
      <c r="H235">
        <v>680</v>
      </c>
      <c r="I235" s="3">
        <v>3.49</v>
      </c>
      <c r="J235" s="3">
        <f t="shared" si="10"/>
        <v>2373.2000000000003</v>
      </c>
      <c r="K235" s="3">
        <f>H235*1.15</f>
        <v>781.99999999999989</v>
      </c>
      <c r="L235" s="3">
        <f t="shared" si="11"/>
        <v>1591.2000000000003</v>
      </c>
      <c r="M235" t="s">
        <v>76</v>
      </c>
      <c r="N235" t="s">
        <v>74</v>
      </c>
      <c r="O235" t="s">
        <v>204</v>
      </c>
    </row>
    <row r="236" spans="1:15" x14ac:dyDescent="0.25">
      <c r="A236" t="s">
        <v>624</v>
      </c>
      <c r="B236" s="9">
        <v>45642</v>
      </c>
      <c r="C236" t="s">
        <v>134</v>
      </c>
      <c r="D236" t="s">
        <v>135</v>
      </c>
      <c r="E236" t="s">
        <v>32</v>
      </c>
      <c r="F236" t="s">
        <v>30</v>
      </c>
      <c r="G236" t="s">
        <v>31</v>
      </c>
      <c r="H236">
        <v>480</v>
      </c>
      <c r="I236" s="3">
        <v>3.99</v>
      </c>
      <c r="J236" s="3">
        <f t="shared" si="10"/>
        <v>1915.2</v>
      </c>
      <c r="K236" s="3">
        <f>H236*1.28</f>
        <v>614.4</v>
      </c>
      <c r="L236" s="3">
        <f t="shared" si="11"/>
        <v>1300.8000000000002</v>
      </c>
      <c r="M236" t="s">
        <v>83</v>
      </c>
      <c r="N236" t="s">
        <v>80</v>
      </c>
      <c r="O236" t="s">
        <v>204</v>
      </c>
    </row>
    <row r="237" spans="1:15" x14ac:dyDescent="0.25">
      <c r="A237" t="s">
        <v>625</v>
      </c>
      <c r="B237" s="9">
        <v>45645</v>
      </c>
      <c r="C237" t="s">
        <v>143</v>
      </c>
      <c r="D237" t="s">
        <v>144</v>
      </c>
      <c r="E237" t="s">
        <v>23</v>
      </c>
      <c r="F237" t="s">
        <v>24</v>
      </c>
      <c r="G237" t="s">
        <v>20</v>
      </c>
      <c r="H237">
        <v>1580</v>
      </c>
      <c r="I237" s="3">
        <v>1.19</v>
      </c>
      <c r="J237" s="3">
        <f t="shared" si="10"/>
        <v>1880.1999999999998</v>
      </c>
      <c r="K237" s="3">
        <f>H237*0.39</f>
        <v>616.20000000000005</v>
      </c>
      <c r="L237" s="3">
        <f t="shared" si="11"/>
        <v>1263.9999999999998</v>
      </c>
      <c r="M237" t="s">
        <v>64</v>
      </c>
      <c r="N237" t="s">
        <v>60</v>
      </c>
      <c r="O237" t="s">
        <v>204</v>
      </c>
    </row>
    <row r="238" spans="1:15" x14ac:dyDescent="0.25">
      <c r="A238" t="s">
        <v>626</v>
      </c>
      <c r="B238" s="9">
        <v>45648</v>
      </c>
      <c r="C238" t="s">
        <v>147</v>
      </c>
      <c r="D238" t="s">
        <v>148</v>
      </c>
      <c r="E238" t="s">
        <v>8</v>
      </c>
      <c r="F238" t="s">
        <v>9</v>
      </c>
      <c r="G238" t="s">
        <v>10</v>
      </c>
      <c r="H238">
        <v>2100</v>
      </c>
      <c r="I238" s="3">
        <v>1.29</v>
      </c>
      <c r="J238" s="3">
        <f t="shared" si="10"/>
        <v>2709</v>
      </c>
      <c r="K238" s="3">
        <f>H238*0.45</f>
        <v>945</v>
      </c>
      <c r="L238" s="3">
        <f t="shared" si="11"/>
        <v>1764</v>
      </c>
      <c r="M238" t="s">
        <v>76</v>
      </c>
      <c r="N238" t="s">
        <v>74</v>
      </c>
      <c r="O238" t="s">
        <v>204</v>
      </c>
    </row>
    <row r="239" spans="1:15" x14ac:dyDescent="0.25">
      <c r="A239" t="s">
        <v>627</v>
      </c>
      <c r="B239" s="9">
        <v>45651</v>
      </c>
      <c r="C239" t="s">
        <v>65</v>
      </c>
      <c r="D239" t="s">
        <v>66</v>
      </c>
      <c r="E239" t="s">
        <v>21</v>
      </c>
      <c r="F239" t="s">
        <v>19</v>
      </c>
      <c r="G239" t="s">
        <v>20</v>
      </c>
      <c r="H239">
        <v>450</v>
      </c>
      <c r="I239" s="3">
        <v>1.49</v>
      </c>
      <c r="J239" s="3">
        <f t="shared" si="10"/>
        <v>670.5</v>
      </c>
      <c r="K239" s="3">
        <f>H239*0.48</f>
        <v>216</v>
      </c>
      <c r="L239" s="3">
        <f t="shared" si="11"/>
        <v>454.5</v>
      </c>
      <c r="M239" t="s">
        <v>64</v>
      </c>
      <c r="N239" t="s">
        <v>60</v>
      </c>
      <c r="O239" t="s">
        <v>204</v>
      </c>
    </row>
    <row r="240" spans="1:15" x14ac:dyDescent="0.25">
      <c r="A240" t="s">
        <v>628</v>
      </c>
      <c r="B240" s="9">
        <v>45654</v>
      </c>
      <c r="C240" t="s">
        <v>139</v>
      </c>
      <c r="D240" t="s">
        <v>140</v>
      </c>
      <c r="E240" t="s">
        <v>33</v>
      </c>
      <c r="F240" t="s">
        <v>34</v>
      </c>
      <c r="G240" t="s">
        <v>35</v>
      </c>
      <c r="H240">
        <v>780</v>
      </c>
      <c r="I240" s="3">
        <v>2.4900000000000002</v>
      </c>
      <c r="J240" s="3">
        <f t="shared" si="10"/>
        <v>1942.2000000000003</v>
      </c>
      <c r="K240" s="3">
        <f>H240*0.82</f>
        <v>639.59999999999991</v>
      </c>
      <c r="L240" s="3">
        <f t="shared" si="11"/>
        <v>1302.6000000000004</v>
      </c>
      <c r="M240" t="s">
        <v>90</v>
      </c>
      <c r="N240" t="s">
        <v>87</v>
      </c>
      <c r="O240" t="s">
        <v>204</v>
      </c>
    </row>
    <row r="241" spans="1:15" x14ac:dyDescent="0.25">
      <c r="A241" t="s">
        <v>629</v>
      </c>
      <c r="B241" s="9">
        <v>45321</v>
      </c>
      <c r="C241" t="s">
        <v>77</v>
      </c>
      <c r="D241" t="s">
        <v>78</v>
      </c>
      <c r="E241" t="s">
        <v>28</v>
      </c>
      <c r="F241" t="s">
        <v>27</v>
      </c>
      <c r="G241" t="s">
        <v>20</v>
      </c>
      <c r="H241">
        <v>520</v>
      </c>
      <c r="I241" s="3">
        <v>1.49</v>
      </c>
      <c r="J241" s="3">
        <f t="shared" si="10"/>
        <v>774.8</v>
      </c>
      <c r="K241" s="3">
        <f>H241*0.47</f>
        <v>244.39999999999998</v>
      </c>
      <c r="L241" s="3">
        <f t="shared" si="11"/>
        <v>530.4</v>
      </c>
      <c r="M241" t="s">
        <v>83</v>
      </c>
      <c r="N241" t="s">
        <v>80</v>
      </c>
      <c r="O241" t="s">
        <v>204</v>
      </c>
    </row>
    <row r="242" spans="1:15" x14ac:dyDescent="0.25">
      <c r="A242" t="s">
        <v>630</v>
      </c>
      <c r="B242" s="9">
        <v>45350</v>
      </c>
      <c r="C242" t="s">
        <v>91</v>
      </c>
      <c r="D242" t="s">
        <v>92</v>
      </c>
      <c r="E242" t="s">
        <v>8</v>
      </c>
      <c r="F242" t="s">
        <v>9</v>
      </c>
      <c r="G242" t="s">
        <v>10</v>
      </c>
      <c r="H242">
        <v>1350</v>
      </c>
      <c r="I242" s="3">
        <v>1.29</v>
      </c>
      <c r="J242" s="3">
        <f t="shared" si="10"/>
        <v>1741.5</v>
      </c>
      <c r="K242" s="3">
        <f>H242*0.45</f>
        <v>607.5</v>
      </c>
      <c r="L242" s="3">
        <f t="shared" si="11"/>
        <v>1134</v>
      </c>
      <c r="M242" t="s">
        <v>90</v>
      </c>
      <c r="N242" t="s">
        <v>87</v>
      </c>
      <c r="O242" t="s">
        <v>204</v>
      </c>
    </row>
    <row r="243" spans="1:15" x14ac:dyDescent="0.25">
      <c r="A243" t="s">
        <v>631</v>
      </c>
      <c r="B243" s="9">
        <v>45379</v>
      </c>
      <c r="C243" t="s">
        <v>102</v>
      </c>
      <c r="D243" t="s">
        <v>103</v>
      </c>
      <c r="E243" t="s">
        <v>33</v>
      </c>
      <c r="F243" t="s">
        <v>34</v>
      </c>
      <c r="G243" t="s">
        <v>35</v>
      </c>
      <c r="H243">
        <v>890</v>
      </c>
      <c r="I243" s="3">
        <v>2.4900000000000002</v>
      </c>
      <c r="J243" s="3">
        <f t="shared" si="10"/>
        <v>2216.1000000000004</v>
      </c>
      <c r="K243" s="3">
        <f>H243*0.82</f>
        <v>729.8</v>
      </c>
      <c r="L243" s="3">
        <f t="shared" si="11"/>
        <v>1486.3000000000004</v>
      </c>
      <c r="M243" t="s">
        <v>76</v>
      </c>
      <c r="N243" t="s">
        <v>74</v>
      </c>
      <c r="O243" t="s">
        <v>204</v>
      </c>
    </row>
    <row r="244" spans="1:15" x14ac:dyDescent="0.25">
      <c r="A244" t="s">
        <v>632</v>
      </c>
      <c r="B244" s="9">
        <v>45410</v>
      </c>
      <c r="C244" t="s">
        <v>110</v>
      </c>
      <c r="D244" t="s">
        <v>111</v>
      </c>
      <c r="E244" t="s">
        <v>32</v>
      </c>
      <c r="F244" t="s">
        <v>30</v>
      </c>
      <c r="G244" t="s">
        <v>31</v>
      </c>
      <c r="H244">
        <v>620</v>
      </c>
      <c r="I244" s="3">
        <v>3.99</v>
      </c>
      <c r="J244" s="3">
        <f t="shared" si="10"/>
        <v>2473.8000000000002</v>
      </c>
      <c r="K244" s="3">
        <f>H244*1.28</f>
        <v>793.6</v>
      </c>
      <c r="L244" s="3">
        <f t="shared" si="11"/>
        <v>1680.2000000000003</v>
      </c>
      <c r="M244" t="s">
        <v>76</v>
      </c>
      <c r="N244" t="s">
        <v>74</v>
      </c>
      <c r="O244" t="s">
        <v>204</v>
      </c>
    </row>
    <row r="245" spans="1:15" x14ac:dyDescent="0.25">
      <c r="A245" t="s">
        <v>633</v>
      </c>
      <c r="B245" s="9">
        <v>45442</v>
      </c>
      <c r="C245" t="s">
        <v>120</v>
      </c>
      <c r="D245" t="s">
        <v>121</v>
      </c>
      <c r="E245" t="s">
        <v>37</v>
      </c>
      <c r="F245" t="s">
        <v>38</v>
      </c>
      <c r="G245" t="s">
        <v>39</v>
      </c>
      <c r="H245">
        <v>480</v>
      </c>
      <c r="I245" s="3">
        <v>1.79</v>
      </c>
      <c r="J245" s="3">
        <f t="shared" si="10"/>
        <v>859.2</v>
      </c>
      <c r="K245" s="3">
        <f>H245*0.58</f>
        <v>278.39999999999998</v>
      </c>
      <c r="L245" s="3">
        <f t="shared" si="11"/>
        <v>580.80000000000007</v>
      </c>
      <c r="M245" t="s">
        <v>90</v>
      </c>
      <c r="N245" t="s">
        <v>87</v>
      </c>
      <c r="O245" t="s">
        <v>204</v>
      </c>
    </row>
    <row r="246" spans="1:15" x14ac:dyDescent="0.25">
      <c r="A246" t="s">
        <v>634</v>
      </c>
      <c r="B246" s="9">
        <v>45473</v>
      </c>
      <c r="C246" t="s">
        <v>129</v>
      </c>
      <c r="D246" t="s">
        <v>130</v>
      </c>
      <c r="E246" t="s">
        <v>18</v>
      </c>
      <c r="F246" t="s">
        <v>19</v>
      </c>
      <c r="G246" t="s">
        <v>20</v>
      </c>
      <c r="H246">
        <v>1180</v>
      </c>
      <c r="I246" s="3">
        <v>1.19</v>
      </c>
      <c r="J246" s="3">
        <f t="shared" si="10"/>
        <v>1404.2</v>
      </c>
      <c r="K246" s="3">
        <f>H246*0.38</f>
        <v>448.4</v>
      </c>
      <c r="L246" s="3">
        <f t="shared" si="11"/>
        <v>955.80000000000007</v>
      </c>
      <c r="M246" t="s">
        <v>76</v>
      </c>
      <c r="N246" t="s">
        <v>74</v>
      </c>
      <c r="O246" t="s">
        <v>204</v>
      </c>
    </row>
    <row r="247" spans="1:15" x14ac:dyDescent="0.25">
      <c r="A247" t="s">
        <v>635</v>
      </c>
      <c r="B247" s="9">
        <v>45504</v>
      </c>
      <c r="C247" t="s">
        <v>134</v>
      </c>
      <c r="D247" t="s">
        <v>135</v>
      </c>
      <c r="E247" t="s">
        <v>23</v>
      </c>
      <c r="F247" t="s">
        <v>24</v>
      </c>
      <c r="G247" t="s">
        <v>20</v>
      </c>
      <c r="H247">
        <v>920</v>
      </c>
      <c r="I247" s="3">
        <v>1.19</v>
      </c>
      <c r="J247" s="3">
        <f t="shared" si="10"/>
        <v>1094.8</v>
      </c>
      <c r="K247" s="3">
        <f>H247*0.39</f>
        <v>358.8</v>
      </c>
      <c r="L247" s="3">
        <f t="shared" si="11"/>
        <v>736</v>
      </c>
      <c r="M247" t="s">
        <v>83</v>
      </c>
      <c r="N247" t="s">
        <v>80</v>
      </c>
      <c r="O247" t="s">
        <v>204</v>
      </c>
    </row>
    <row r="248" spans="1:15" x14ac:dyDescent="0.25">
      <c r="A248" t="s">
        <v>636</v>
      </c>
      <c r="B248" s="9">
        <v>45535</v>
      </c>
      <c r="C248" t="s">
        <v>143</v>
      </c>
      <c r="D248" t="s">
        <v>144</v>
      </c>
      <c r="E248" t="s">
        <v>12</v>
      </c>
      <c r="F248" t="s">
        <v>9</v>
      </c>
      <c r="G248" t="s">
        <v>10</v>
      </c>
      <c r="H248">
        <v>1680</v>
      </c>
      <c r="I248" s="3">
        <v>1.99</v>
      </c>
      <c r="J248" s="3">
        <f t="shared" si="10"/>
        <v>3343.2</v>
      </c>
      <c r="K248" s="3">
        <f>H248*0.72</f>
        <v>1209.5999999999999</v>
      </c>
      <c r="L248" s="3">
        <f t="shared" si="11"/>
        <v>2133.6</v>
      </c>
      <c r="M248" t="s">
        <v>64</v>
      </c>
      <c r="N248" t="s">
        <v>60</v>
      </c>
      <c r="O248" t="s">
        <v>204</v>
      </c>
    </row>
    <row r="249" spans="1:15" x14ac:dyDescent="0.25">
      <c r="A249" t="s">
        <v>637</v>
      </c>
      <c r="B249" s="9">
        <v>45565</v>
      </c>
      <c r="C249" t="s">
        <v>147</v>
      </c>
      <c r="D249" t="s">
        <v>148</v>
      </c>
      <c r="E249" t="s">
        <v>26</v>
      </c>
      <c r="F249" t="s">
        <v>27</v>
      </c>
      <c r="G249" t="s">
        <v>20</v>
      </c>
      <c r="H249">
        <v>780</v>
      </c>
      <c r="I249" s="3">
        <v>1.19</v>
      </c>
      <c r="J249" s="3">
        <f t="shared" ref="J249:J264" si="12">H249*I249</f>
        <v>928.19999999999993</v>
      </c>
      <c r="K249" s="3">
        <f>H249*0.37</f>
        <v>288.60000000000002</v>
      </c>
      <c r="L249" s="3">
        <f t="shared" ref="L249:L264" si="13">J249-K249</f>
        <v>639.59999999999991</v>
      </c>
      <c r="M249" t="s">
        <v>76</v>
      </c>
      <c r="N249" t="s">
        <v>74</v>
      </c>
      <c r="O249" t="s">
        <v>204</v>
      </c>
    </row>
    <row r="250" spans="1:15" x14ac:dyDescent="0.25">
      <c r="A250" t="s">
        <v>638</v>
      </c>
      <c r="B250" s="9">
        <v>45596</v>
      </c>
      <c r="C250" t="s">
        <v>155</v>
      </c>
      <c r="D250" t="s">
        <v>156</v>
      </c>
      <c r="E250" t="s">
        <v>13</v>
      </c>
      <c r="F250" t="s">
        <v>9</v>
      </c>
      <c r="G250" t="s">
        <v>10</v>
      </c>
      <c r="H250">
        <v>1420</v>
      </c>
      <c r="I250" s="3">
        <v>2.4900000000000002</v>
      </c>
      <c r="J250" s="3">
        <f t="shared" si="12"/>
        <v>3535.8</v>
      </c>
      <c r="K250" s="3">
        <f>H250*0.89</f>
        <v>1263.8</v>
      </c>
      <c r="L250" s="3">
        <f t="shared" si="13"/>
        <v>2272</v>
      </c>
      <c r="M250" t="s">
        <v>90</v>
      </c>
      <c r="N250" t="s">
        <v>87</v>
      </c>
      <c r="O250" t="s">
        <v>204</v>
      </c>
    </row>
    <row r="251" spans="1:15" x14ac:dyDescent="0.25">
      <c r="A251" t="s">
        <v>639</v>
      </c>
      <c r="B251" s="9">
        <v>45626</v>
      </c>
      <c r="C251" t="s">
        <v>57</v>
      </c>
      <c r="D251" t="s">
        <v>58</v>
      </c>
      <c r="E251" t="s">
        <v>22</v>
      </c>
      <c r="F251" t="s">
        <v>19</v>
      </c>
      <c r="G251" t="s">
        <v>20</v>
      </c>
      <c r="H251">
        <v>1850</v>
      </c>
      <c r="I251" s="3">
        <v>2.79</v>
      </c>
      <c r="J251" s="3">
        <f t="shared" si="12"/>
        <v>5161.5</v>
      </c>
      <c r="K251" s="3">
        <f>H251*0.92</f>
        <v>1702</v>
      </c>
      <c r="L251" s="3">
        <f t="shared" si="13"/>
        <v>3459.5</v>
      </c>
      <c r="M251" t="s">
        <v>64</v>
      </c>
      <c r="N251" t="s">
        <v>60</v>
      </c>
      <c r="O251" t="s">
        <v>204</v>
      </c>
    </row>
    <row r="252" spans="1:15" x14ac:dyDescent="0.25">
      <c r="A252" t="s">
        <v>640</v>
      </c>
      <c r="B252" s="9">
        <v>45657</v>
      </c>
      <c r="C252" t="s">
        <v>71</v>
      </c>
      <c r="D252" t="s">
        <v>72</v>
      </c>
      <c r="E252" t="s">
        <v>36</v>
      </c>
      <c r="F252" t="s">
        <v>34</v>
      </c>
      <c r="G252" t="s">
        <v>35</v>
      </c>
      <c r="H252">
        <v>980</v>
      </c>
      <c r="I252" s="3">
        <v>3.49</v>
      </c>
      <c r="J252" s="3">
        <f t="shared" si="12"/>
        <v>3420.2000000000003</v>
      </c>
      <c r="K252" s="3">
        <f>H252*1.15</f>
        <v>1127</v>
      </c>
      <c r="L252" s="3">
        <f t="shared" si="13"/>
        <v>2293.2000000000003</v>
      </c>
      <c r="M252" t="s">
        <v>76</v>
      </c>
      <c r="N252" t="s">
        <v>74</v>
      </c>
      <c r="O252" t="s">
        <v>204</v>
      </c>
    </row>
    <row r="253" spans="1:15" x14ac:dyDescent="0.25">
      <c r="A253" t="s">
        <v>641</v>
      </c>
      <c r="B253" s="9">
        <v>45308</v>
      </c>
      <c r="C253" t="s">
        <v>115</v>
      </c>
      <c r="D253" t="s">
        <v>116</v>
      </c>
      <c r="E253" t="s">
        <v>45</v>
      </c>
      <c r="F253" t="s">
        <v>46</v>
      </c>
      <c r="G253" t="s">
        <v>44</v>
      </c>
      <c r="H253">
        <v>320</v>
      </c>
      <c r="I253" s="3">
        <v>1.99</v>
      </c>
      <c r="J253" s="3">
        <f t="shared" si="12"/>
        <v>636.79999999999995</v>
      </c>
      <c r="K253" s="3">
        <f>H253*0.74</f>
        <v>236.8</v>
      </c>
      <c r="L253" s="3">
        <f t="shared" si="13"/>
        <v>399.99999999999994</v>
      </c>
      <c r="M253" t="s">
        <v>83</v>
      </c>
      <c r="N253" t="s">
        <v>80</v>
      </c>
      <c r="O253" t="s">
        <v>204</v>
      </c>
    </row>
    <row r="254" spans="1:15" x14ac:dyDescent="0.25">
      <c r="A254" t="s">
        <v>642</v>
      </c>
      <c r="B254" s="9">
        <v>45339</v>
      </c>
      <c r="C254" t="s">
        <v>134</v>
      </c>
      <c r="D254" t="s">
        <v>135</v>
      </c>
      <c r="E254" t="s">
        <v>25</v>
      </c>
      <c r="F254" t="s">
        <v>24</v>
      </c>
      <c r="G254" t="s">
        <v>20</v>
      </c>
      <c r="H254">
        <v>880</v>
      </c>
      <c r="I254" s="3">
        <v>1.49</v>
      </c>
      <c r="J254" s="3">
        <f t="shared" si="12"/>
        <v>1311.2</v>
      </c>
      <c r="K254" s="3">
        <f>H254*0.49</f>
        <v>431.2</v>
      </c>
      <c r="L254" s="3">
        <f t="shared" si="13"/>
        <v>880</v>
      </c>
      <c r="M254" t="s">
        <v>83</v>
      </c>
      <c r="N254" t="s">
        <v>80</v>
      </c>
      <c r="O254" t="s">
        <v>204</v>
      </c>
    </row>
    <row r="255" spans="1:15" x14ac:dyDescent="0.25">
      <c r="A255" t="s">
        <v>643</v>
      </c>
      <c r="B255" s="9">
        <v>45368</v>
      </c>
      <c r="C255" t="s">
        <v>151</v>
      </c>
      <c r="D255" t="s">
        <v>152</v>
      </c>
      <c r="E255" t="s">
        <v>14</v>
      </c>
      <c r="F255" t="s">
        <v>15</v>
      </c>
      <c r="G255" t="s">
        <v>16</v>
      </c>
      <c r="H255">
        <v>620</v>
      </c>
      <c r="I255" s="3">
        <v>1.49</v>
      </c>
      <c r="J255" s="3">
        <f t="shared" si="12"/>
        <v>923.8</v>
      </c>
      <c r="K255" s="3">
        <f>H255*0.52</f>
        <v>322.40000000000003</v>
      </c>
      <c r="L255" s="3">
        <f t="shared" si="13"/>
        <v>601.39999999999986</v>
      </c>
      <c r="M255" t="s">
        <v>83</v>
      </c>
      <c r="N255" t="s">
        <v>80</v>
      </c>
      <c r="O255" t="s">
        <v>204</v>
      </c>
    </row>
    <row r="256" spans="1:15" x14ac:dyDescent="0.25">
      <c r="A256" t="s">
        <v>644</v>
      </c>
      <c r="B256" s="9">
        <v>45399</v>
      </c>
      <c r="C256" t="s">
        <v>96</v>
      </c>
      <c r="D256" t="s">
        <v>97</v>
      </c>
      <c r="E256" t="s">
        <v>42</v>
      </c>
      <c r="F256" t="s">
        <v>43</v>
      </c>
      <c r="G256" t="s">
        <v>44</v>
      </c>
      <c r="H256">
        <v>380</v>
      </c>
      <c r="I256" s="3">
        <v>1.99</v>
      </c>
      <c r="J256" s="3">
        <f t="shared" si="12"/>
        <v>756.2</v>
      </c>
      <c r="K256" s="3">
        <f>H256*0.72</f>
        <v>273.59999999999997</v>
      </c>
      <c r="L256" s="3">
        <f t="shared" si="13"/>
        <v>482.60000000000008</v>
      </c>
      <c r="M256" t="s">
        <v>83</v>
      </c>
      <c r="N256" t="s">
        <v>80</v>
      </c>
      <c r="O256" t="s">
        <v>204</v>
      </c>
    </row>
    <row r="257" spans="1:15" x14ac:dyDescent="0.25">
      <c r="A257" t="s">
        <v>645</v>
      </c>
      <c r="B257" s="9">
        <v>45429</v>
      </c>
      <c r="C257" t="s">
        <v>77</v>
      </c>
      <c r="D257" t="s">
        <v>78</v>
      </c>
      <c r="E257" t="s">
        <v>22</v>
      </c>
      <c r="F257" t="s">
        <v>19</v>
      </c>
      <c r="G257" t="s">
        <v>20</v>
      </c>
      <c r="H257">
        <v>1250</v>
      </c>
      <c r="I257" s="3">
        <v>2.79</v>
      </c>
      <c r="J257" s="3">
        <f t="shared" si="12"/>
        <v>3487.5</v>
      </c>
      <c r="K257" s="3">
        <f>H257*0.92</f>
        <v>1150</v>
      </c>
      <c r="L257" s="3">
        <f t="shared" si="13"/>
        <v>2337.5</v>
      </c>
      <c r="M257" t="s">
        <v>83</v>
      </c>
      <c r="N257" t="s">
        <v>80</v>
      </c>
      <c r="O257" t="s">
        <v>204</v>
      </c>
    </row>
    <row r="258" spans="1:15" x14ac:dyDescent="0.25">
      <c r="A258" t="s">
        <v>646</v>
      </c>
      <c r="B258" s="9">
        <v>45460</v>
      </c>
      <c r="C258" t="s">
        <v>115</v>
      </c>
      <c r="D258" t="s">
        <v>116</v>
      </c>
      <c r="E258" t="s">
        <v>8</v>
      </c>
      <c r="F258" t="s">
        <v>9</v>
      </c>
      <c r="G258" t="s">
        <v>10</v>
      </c>
      <c r="H258">
        <v>950</v>
      </c>
      <c r="I258" s="3">
        <v>1.29</v>
      </c>
      <c r="J258" s="3">
        <f t="shared" si="12"/>
        <v>1225.5</v>
      </c>
      <c r="K258" s="3">
        <f>H258*0.45</f>
        <v>427.5</v>
      </c>
      <c r="L258" s="3">
        <f t="shared" si="13"/>
        <v>798</v>
      </c>
      <c r="M258" t="s">
        <v>83</v>
      </c>
      <c r="N258" t="s">
        <v>80</v>
      </c>
      <c r="O258" t="s">
        <v>204</v>
      </c>
    </row>
    <row r="259" spans="1:15" x14ac:dyDescent="0.25">
      <c r="A259" t="s">
        <v>647</v>
      </c>
      <c r="B259" s="9">
        <v>45490</v>
      </c>
      <c r="C259" t="s">
        <v>134</v>
      </c>
      <c r="D259" t="s">
        <v>135</v>
      </c>
      <c r="E259" t="s">
        <v>33</v>
      </c>
      <c r="F259" t="s">
        <v>34</v>
      </c>
      <c r="G259" t="s">
        <v>35</v>
      </c>
      <c r="H259">
        <v>720</v>
      </c>
      <c r="I259" s="3">
        <v>2.4900000000000002</v>
      </c>
      <c r="J259" s="3">
        <f t="shared" si="12"/>
        <v>1792.8000000000002</v>
      </c>
      <c r="K259" s="3">
        <f>H259*0.82</f>
        <v>590.4</v>
      </c>
      <c r="L259" s="3">
        <f t="shared" si="13"/>
        <v>1202.4000000000001</v>
      </c>
      <c r="M259" t="s">
        <v>83</v>
      </c>
      <c r="N259" t="s">
        <v>80</v>
      </c>
      <c r="O259" t="s">
        <v>204</v>
      </c>
    </row>
    <row r="260" spans="1:15" x14ac:dyDescent="0.25">
      <c r="A260" t="s">
        <v>648</v>
      </c>
      <c r="B260" s="9">
        <v>45521</v>
      </c>
      <c r="C260" t="s">
        <v>151</v>
      </c>
      <c r="D260" t="s">
        <v>152</v>
      </c>
      <c r="E260" t="s">
        <v>18</v>
      </c>
      <c r="F260" t="s">
        <v>19</v>
      </c>
      <c r="G260" t="s">
        <v>20</v>
      </c>
      <c r="H260">
        <v>580</v>
      </c>
      <c r="I260" s="3">
        <v>1.19</v>
      </c>
      <c r="J260" s="3">
        <f t="shared" si="12"/>
        <v>690.19999999999993</v>
      </c>
      <c r="K260" s="3">
        <f>H260*0.38</f>
        <v>220.4</v>
      </c>
      <c r="L260" s="3">
        <f t="shared" si="13"/>
        <v>469.79999999999995</v>
      </c>
      <c r="M260" t="s">
        <v>83</v>
      </c>
      <c r="N260" t="s">
        <v>80</v>
      </c>
      <c r="O260" t="s">
        <v>204</v>
      </c>
    </row>
    <row r="261" spans="1:15" x14ac:dyDescent="0.25">
      <c r="A261" t="s">
        <v>649</v>
      </c>
      <c r="B261" s="9">
        <v>45552</v>
      </c>
      <c r="C261" t="s">
        <v>96</v>
      </c>
      <c r="D261" t="s">
        <v>97</v>
      </c>
      <c r="E261" t="s">
        <v>32</v>
      </c>
      <c r="F261" t="s">
        <v>30</v>
      </c>
      <c r="G261" t="s">
        <v>31</v>
      </c>
      <c r="H261">
        <v>420</v>
      </c>
      <c r="I261" s="3">
        <v>3.99</v>
      </c>
      <c r="J261" s="3">
        <f t="shared" si="12"/>
        <v>1675.8000000000002</v>
      </c>
      <c r="K261" s="3">
        <f>H261*1.28</f>
        <v>537.6</v>
      </c>
      <c r="L261" s="3">
        <f t="shared" si="13"/>
        <v>1138.2000000000003</v>
      </c>
      <c r="M261" t="s">
        <v>83</v>
      </c>
      <c r="N261" t="s">
        <v>80</v>
      </c>
      <c r="O261" t="s">
        <v>204</v>
      </c>
    </row>
    <row r="262" spans="1:15" x14ac:dyDescent="0.25">
      <c r="A262" t="s">
        <v>650</v>
      </c>
      <c r="B262" s="9">
        <v>45582</v>
      </c>
      <c r="C262" t="s">
        <v>77</v>
      </c>
      <c r="D262" t="s">
        <v>78</v>
      </c>
      <c r="E262" t="s">
        <v>37</v>
      </c>
      <c r="F262" t="s">
        <v>38</v>
      </c>
      <c r="G262" t="s">
        <v>39</v>
      </c>
      <c r="H262">
        <v>350</v>
      </c>
      <c r="I262" s="3">
        <v>1.79</v>
      </c>
      <c r="J262" s="3">
        <f t="shared" si="12"/>
        <v>626.5</v>
      </c>
      <c r="K262" s="3">
        <f>H262*0.58</f>
        <v>203</v>
      </c>
      <c r="L262" s="3">
        <f t="shared" si="13"/>
        <v>423.5</v>
      </c>
      <c r="M262" t="s">
        <v>83</v>
      </c>
      <c r="N262" t="s">
        <v>80</v>
      </c>
      <c r="O262" t="s">
        <v>204</v>
      </c>
    </row>
    <row r="263" spans="1:15" x14ac:dyDescent="0.25">
      <c r="A263" t="s">
        <v>651</v>
      </c>
      <c r="B263" s="9">
        <v>45613</v>
      </c>
      <c r="C263" t="s">
        <v>115</v>
      </c>
      <c r="D263" t="s">
        <v>116</v>
      </c>
      <c r="E263" t="s">
        <v>17</v>
      </c>
      <c r="F263" t="s">
        <v>15</v>
      </c>
      <c r="G263" t="s">
        <v>16</v>
      </c>
      <c r="H263">
        <v>480</v>
      </c>
      <c r="I263" s="3">
        <v>2.29</v>
      </c>
      <c r="J263" s="3">
        <f t="shared" si="12"/>
        <v>1099.2</v>
      </c>
      <c r="K263" s="3">
        <f>H263*0.81</f>
        <v>388.8</v>
      </c>
      <c r="L263" s="3">
        <f t="shared" si="13"/>
        <v>710.40000000000009</v>
      </c>
      <c r="M263" t="s">
        <v>83</v>
      </c>
      <c r="N263" t="s">
        <v>80</v>
      </c>
      <c r="O263" t="s">
        <v>204</v>
      </c>
    </row>
    <row r="264" spans="1:15" x14ac:dyDescent="0.25">
      <c r="A264" t="s">
        <v>652</v>
      </c>
      <c r="B264" s="9">
        <v>45643</v>
      </c>
      <c r="C264" t="s">
        <v>134</v>
      </c>
      <c r="D264" t="s">
        <v>135</v>
      </c>
      <c r="E264" t="s">
        <v>28</v>
      </c>
      <c r="F264" t="s">
        <v>27</v>
      </c>
      <c r="G264" t="s">
        <v>20</v>
      </c>
      <c r="H264">
        <v>680</v>
      </c>
      <c r="I264" s="3">
        <v>1.49</v>
      </c>
      <c r="J264" s="3">
        <f t="shared" si="12"/>
        <v>1013.2</v>
      </c>
      <c r="K264" s="3">
        <f>H264*0.47</f>
        <v>319.59999999999997</v>
      </c>
      <c r="L264" s="3">
        <f t="shared" si="13"/>
        <v>693.60000000000014</v>
      </c>
      <c r="M264" t="s">
        <v>83</v>
      </c>
      <c r="N264" t="s">
        <v>80</v>
      </c>
      <c r="O264" t="s">
        <v>204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DFE5-8F8B-4D06-ADC8-A59A4CE48A3D}">
  <dimension ref="A1:H21"/>
  <sheetViews>
    <sheetView workbookViewId="0">
      <selection sqref="A1:H1"/>
    </sheetView>
  </sheetViews>
  <sheetFormatPr defaultRowHeight="15" x14ac:dyDescent="0.25"/>
  <cols>
    <col min="1" max="1" width="12.5703125" customWidth="1"/>
    <col min="2" max="2" width="19.7109375" bestFit="1" customWidth="1"/>
    <col min="3" max="3" width="12.85546875" bestFit="1" customWidth="1"/>
    <col min="4" max="4" width="9.7109375" customWidth="1"/>
    <col min="5" max="5" width="14.7109375" customWidth="1"/>
    <col min="6" max="6" width="10.28515625" customWidth="1"/>
    <col min="7" max="7" width="11.140625" customWidth="1"/>
    <col min="8" max="8" width="8.855468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0.5</v>
      </c>
      <c r="E2" s="3">
        <v>1.29</v>
      </c>
      <c r="F2" s="3">
        <v>0.45</v>
      </c>
      <c r="G2" s="1">
        <f t="shared" ref="G2:G21" si="0">(E2-F2)/E2</f>
        <v>0.65116279069767447</v>
      </c>
      <c r="H2" t="s">
        <v>11</v>
      </c>
    </row>
    <row r="3" spans="1:8" x14ac:dyDescent="0.25">
      <c r="A3" t="s">
        <v>12</v>
      </c>
      <c r="B3" t="s">
        <v>9</v>
      </c>
      <c r="C3" t="s">
        <v>10</v>
      </c>
      <c r="D3">
        <v>1</v>
      </c>
      <c r="E3" s="3">
        <v>1.99</v>
      </c>
      <c r="F3" s="3">
        <v>0.72</v>
      </c>
      <c r="G3" s="1">
        <f t="shared" si="0"/>
        <v>0.63819095477386933</v>
      </c>
      <c r="H3" t="s">
        <v>11</v>
      </c>
    </row>
    <row r="4" spans="1:8" x14ac:dyDescent="0.25">
      <c r="A4" t="s">
        <v>13</v>
      </c>
      <c r="B4" t="s">
        <v>9</v>
      </c>
      <c r="C4" t="s">
        <v>10</v>
      </c>
      <c r="D4">
        <v>1.5</v>
      </c>
      <c r="E4" s="3">
        <v>2.4900000000000002</v>
      </c>
      <c r="F4" s="3">
        <v>0.89</v>
      </c>
      <c r="G4" s="1">
        <f t="shared" si="0"/>
        <v>0.64257028112449799</v>
      </c>
      <c r="H4" t="s">
        <v>11</v>
      </c>
    </row>
    <row r="5" spans="1:8" x14ac:dyDescent="0.25">
      <c r="A5" t="s">
        <v>14</v>
      </c>
      <c r="B5" t="s">
        <v>15</v>
      </c>
      <c r="C5" t="s">
        <v>16</v>
      </c>
      <c r="D5">
        <v>0.5</v>
      </c>
      <c r="E5" s="3">
        <v>1.49</v>
      </c>
      <c r="F5" s="3">
        <v>0.52</v>
      </c>
      <c r="G5" s="1">
        <f t="shared" si="0"/>
        <v>0.65100671140939592</v>
      </c>
      <c r="H5" t="s">
        <v>11</v>
      </c>
    </row>
    <row r="6" spans="1:8" x14ac:dyDescent="0.25">
      <c r="A6" t="s">
        <v>17</v>
      </c>
      <c r="B6" t="s">
        <v>15</v>
      </c>
      <c r="C6" t="s">
        <v>16</v>
      </c>
      <c r="D6">
        <v>1</v>
      </c>
      <c r="E6" s="3">
        <v>2.29</v>
      </c>
      <c r="F6" s="3">
        <v>0.81</v>
      </c>
      <c r="G6" s="1">
        <f t="shared" si="0"/>
        <v>0.64628820960698685</v>
      </c>
      <c r="H6" t="s">
        <v>11</v>
      </c>
    </row>
    <row r="7" spans="1:8" x14ac:dyDescent="0.25">
      <c r="A7" t="s">
        <v>18</v>
      </c>
      <c r="B7" t="s">
        <v>19</v>
      </c>
      <c r="C7" t="s">
        <v>20</v>
      </c>
      <c r="D7">
        <v>0.33</v>
      </c>
      <c r="E7" s="3">
        <v>1.19</v>
      </c>
      <c r="F7" s="3">
        <v>0.38</v>
      </c>
      <c r="G7" s="1">
        <f t="shared" si="0"/>
        <v>0.68067226890756305</v>
      </c>
      <c r="H7" t="s">
        <v>11</v>
      </c>
    </row>
    <row r="8" spans="1:8" x14ac:dyDescent="0.25">
      <c r="A8" t="s">
        <v>21</v>
      </c>
      <c r="B8" t="s">
        <v>19</v>
      </c>
      <c r="C8" t="s">
        <v>20</v>
      </c>
      <c r="D8">
        <v>0.5</v>
      </c>
      <c r="E8" s="3">
        <v>1.49</v>
      </c>
      <c r="F8" s="3">
        <v>0.48</v>
      </c>
      <c r="G8" s="1">
        <f t="shared" si="0"/>
        <v>0.67785234899328861</v>
      </c>
      <c r="H8" t="s">
        <v>11</v>
      </c>
    </row>
    <row r="9" spans="1:8" x14ac:dyDescent="0.25">
      <c r="A9" t="s">
        <v>22</v>
      </c>
      <c r="B9" t="s">
        <v>19</v>
      </c>
      <c r="C9" t="s">
        <v>20</v>
      </c>
      <c r="D9">
        <v>1.5</v>
      </c>
      <c r="E9" s="3">
        <v>2.79</v>
      </c>
      <c r="F9" s="3">
        <v>0.92</v>
      </c>
      <c r="G9" s="1">
        <f t="shared" si="0"/>
        <v>0.67025089605734767</v>
      </c>
      <c r="H9" t="s">
        <v>11</v>
      </c>
    </row>
    <row r="10" spans="1:8" x14ac:dyDescent="0.25">
      <c r="A10" t="s">
        <v>23</v>
      </c>
      <c r="B10" t="s">
        <v>24</v>
      </c>
      <c r="C10" t="s">
        <v>20</v>
      </c>
      <c r="D10">
        <v>0.33</v>
      </c>
      <c r="E10" s="3">
        <v>1.19</v>
      </c>
      <c r="F10" s="3">
        <v>0.39</v>
      </c>
      <c r="G10" s="1">
        <f t="shared" si="0"/>
        <v>0.67226890756302515</v>
      </c>
      <c r="H10" t="s">
        <v>11</v>
      </c>
    </row>
    <row r="11" spans="1:8" x14ac:dyDescent="0.25">
      <c r="A11" t="s">
        <v>25</v>
      </c>
      <c r="B11" t="s">
        <v>24</v>
      </c>
      <c r="C11" t="s">
        <v>20</v>
      </c>
      <c r="D11">
        <v>0.5</v>
      </c>
      <c r="E11" s="3">
        <v>1.49</v>
      </c>
      <c r="F11" s="3">
        <v>0.49</v>
      </c>
      <c r="G11" s="1">
        <f t="shared" si="0"/>
        <v>0.67114093959731547</v>
      </c>
      <c r="H11" t="s">
        <v>11</v>
      </c>
    </row>
    <row r="12" spans="1:8" x14ac:dyDescent="0.25">
      <c r="A12" t="s">
        <v>26</v>
      </c>
      <c r="B12" t="s">
        <v>27</v>
      </c>
      <c r="C12" t="s">
        <v>20</v>
      </c>
      <c r="D12">
        <v>0.33</v>
      </c>
      <c r="E12" s="3">
        <v>1.19</v>
      </c>
      <c r="F12" s="3">
        <v>0.37</v>
      </c>
      <c r="G12" s="1">
        <f t="shared" si="0"/>
        <v>0.68907563025210083</v>
      </c>
      <c r="H12" t="s">
        <v>11</v>
      </c>
    </row>
    <row r="13" spans="1:8" x14ac:dyDescent="0.25">
      <c r="A13" t="s">
        <v>28</v>
      </c>
      <c r="B13" t="s">
        <v>27</v>
      </c>
      <c r="C13" t="s">
        <v>20</v>
      </c>
      <c r="D13">
        <v>0.5</v>
      </c>
      <c r="E13" s="3">
        <v>1.49</v>
      </c>
      <c r="F13" s="3">
        <v>0.47</v>
      </c>
      <c r="G13" s="1">
        <f t="shared" si="0"/>
        <v>0.68456375838926176</v>
      </c>
      <c r="H13" t="s">
        <v>11</v>
      </c>
    </row>
    <row r="14" spans="1:8" x14ac:dyDescent="0.25">
      <c r="A14" t="s">
        <v>29</v>
      </c>
      <c r="B14" t="s">
        <v>30</v>
      </c>
      <c r="C14" t="s">
        <v>31</v>
      </c>
      <c r="D14">
        <v>0.25</v>
      </c>
      <c r="E14" s="3">
        <v>2.99</v>
      </c>
      <c r="F14" s="3">
        <v>0.95</v>
      </c>
      <c r="G14" s="1">
        <f t="shared" si="0"/>
        <v>0.68227424749163879</v>
      </c>
      <c r="H14" t="s">
        <v>11</v>
      </c>
    </row>
    <row r="15" spans="1:8" x14ac:dyDescent="0.25">
      <c r="A15" t="s">
        <v>32</v>
      </c>
      <c r="B15" t="s">
        <v>30</v>
      </c>
      <c r="C15" t="s">
        <v>31</v>
      </c>
      <c r="D15">
        <v>0.5</v>
      </c>
      <c r="E15" s="3">
        <v>3.99</v>
      </c>
      <c r="F15" s="3">
        <v>1.28</v>
      </c>
      <c r="G15" s="1">
        <f t="shared" si="0"/>
        <v>0.67919799498746858</v>
      </c>
      <c r="H15" t="s">
        <v>11</v>
      </c>
    </row>
    <row r="16" spans="1:8" x14ac:dyDescent="0.25">
      <c r="A16" t="s">
        <v>33</v>
      </c>
      <c r="B16" t="s">
        <v>34</v>
      </c>
      <c r="C16" t="s">
        <v>35</v>
      </c>
      <c r="D16">
        <v>0.5</v>
      </c>
      <c r="E16" s="3">
        <v>2.4900000000000002</v>
      </c>
      <c r="F16" s="3">
        <v>0.82</v>
      </c>
      <c r="G16" s="1">
        <f t="shared" si="0"/>
        <v>0.6706827309236949</v>
      </c>
      <c r="H16" t="s">
        <v>11</v>
      </c>
    </row>
    <row r="17" spans="1:8" x14ac:dyDescent="0.25">
      <c r="A17" t="s">
        <v>36</v>
      </c>
      <c r="B17" t="s">
        <v>34</v>
      </c>
      <c r="C17" t="s">
        <v>35</v>
      </c>
      <c r="D17">
        <v>1</v>
      </c>
      <c r="E17" s="3">
        <v>3.49</v>
      </c>
      <c r="F17" s="3">
        <v>1.1499999999999999</v>
      </c>
      <c r="G17" s="1">
        <f t="shared" si="0"/>
        <v>0.67048710601719197</v>
      </c>
      <c r="H17" t="s">
        <v>11</v>
      </c>
    </row>
    <row r="18" spans="1:8" x14ac:dyDescent="0.25">
      <c r="A18" t="s">
        <v>37</v>
      </c>
      <c r="B18" t="s">
        <v>38</v>
      </c>
      <c r="C18" t="s">
        <v>39</v>
      </c>
      <c r="D18">
        <v>0.5</v>
      </c>
      <c r="E18" s="3">
        <v>1.79</v>
      </c>
      <c r="F18" s="3">
        <v>0.57999999999999996</v>
      </c>
      <c r="G18" s="1">
        <f t="shared" si="0"/>
        <v>0.67597765363128492</v>
      </c>
      <c r="H18" t="s">
        <v>11</v>
      </c>
    </row>
    <row r="19" spans="1:8" x14ac:dyDescent="0.25">
      <c r="A19" t="s">
        <v>40</v>
      </c>
      <c r="B19" t="s">
        <v>41</v>
      </c>
      <c r="C19" t="s">
        <v>39</v>
      </c>
      <c r="D19">
        <v>0.5</v>
      </c>
      <c r="E19" s="3">
        <v>1.79</v>
      </c>
      <c r="F19" s="3">
        <v>0.59</v>
      </c>
      <c r="G19" s="1">
        <f t="shared" si="0"/>
        <v>0.67039106145251404</v>
      </c>
      <c r="H19" t="s">
        <v>11</v>
      </c>
    </row>
    <row r="20" spans="1:8" x14ac:dyDescent="0.25">
      <c r="A20" t="s">
        <v>42</v>
      </c>
      <c r="B20" t="s">
        <v>43</v>
      </c>
      <c r="C20" t="s">
        <v>44</v>
      </c>
      <c r="D20">
        <v>0.33</v>
      </c>
      <c r="E20" s="3">
        <v>1.99</v>
      </c>
      <c r="F20" s="3">
        <v>0.72</v>
      </c>
      <c r="G20" s="1">
        <f t="shared" si="0"/>
        <v>0.63819095477386933</v>
      </c>
      <c r="H20" t="s">
        <v>11</v>
      </c>
    </row>
    <row r="21" spans="1:8" x14ac:dyDescent="0.25">
      <c r="A21" t="s">
        <v>45</v>
      </c>
      <c r="B21" t="s">
        <v>46</v>
      </c>
      <c r="C21" t="s">
        <v>44</v>
      </c>
      <c r="D21">
        <v>0.33</v>
      </c>
      <c r="E21" s="3">
        <v>1.99</v>
      </c>
      <c r="F21" s="3">
        <v>0.74</v>
      </c>
      <c r="G21" s="1">
        <f t="shared" si="0"/>
        <v>0.62814070351758799</v>
      </c>
      <c r="H21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E6AD-C18D-4AA7-B13B-34F0A9B9A31F}">
  <dimension ref="A1:J111"/>
  <sheetViews>
    <sheetView workbookViewId="0">
      <selection sqref="A1:H1"/>
    </sheetView>
  </sheetViews>
  <sheetFormatPr defaultRowHeight="15" x14ac:dyDescent="0.25"/>
  <cols>
    <col min="1" max="1" width="14.5703125" customWidth="1"/>
    <col min="2" max="2" width="24.28515625" bestFit="1" customWidth="1"/>
    <col min="3" max="3" width="16" customWidth="1"/>
    <col min="4" max="4" width="9.42578125" customWidth="1"/>
    <col min="5" max="5" width="13.5703125" bestFit="1" customWidth="1"/>
    <col min="6" max="6" width="16.85546875" customWidth="1"/>
    <col min="7" max="7" width="16.7109375" customWidth="1"/>
    <col min="8" max="8" width="17" customWidth="1"/>
    <col min="9" max="9" width="16.5703125" customWidth="1"/>
    <col min="10" max="10" width="15.28515625" customWidth="1"/>
  </cols>
  <sheetData>
    <row r="1" spans="1:10" x14ac:dyDescent="0.25">
      <c r="A1" s="4" t="s">
        <v>47</v>
      </c>
      <c r="B1" s="4" t="s">
        <v>48</v>
      </c>
      <c r="C1" s="4" t="s">
        <v>49</v>
      </c>
      <c r="D1" s="4" t="s">
        <v>50</v>
      </c>
      <c r="E1" s="4" t="s">
        <v>51</v>
      </c>
      <c r="F1" s="4" t="s">
        <v>52</v>
      </c>
      <c r="G1" s="4" t="s">
        <v>53</v>
      </c>
      <c r="H1" s="4" t="s">
        <v>54</v>
      </c>
      <c r="I1" s="4" t="s">
        <v>55</v>
      </c>
      <c r="J1" s="4" t="s">
        <v>56</v>
      </c>
    </row>
    <row r="2" spans="1:10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s="5">
        <v>50000</v>
      </c>
      <c r="H2" t="s">
        <v>63</v>
      </c>
      <c r="I2" t="s">
        <v>11</v>
      </c>
      <c r="J2" t="s">
        <v>64</v>
      </c>
    </row>
    <row r="3" spans="1:10" x14ac:dyDescent="0.25">
      <c r="A3" t="s">
        <v>65</v>
      </c>
      <c r="B3" t="s">
        <v>66</v>
      </c>
      <c r="C3" t="s">
        <v>67</v>
      </c>
      <c r="D3" t="s">
        <v>60</v>
      </c>
      <c r="E3" t="s">
        <v>68</v>
      </c>
      <c r="F3" t="s">
        <v>69</v>
      </c>
      <c r="G3" s="5">
        <v>15000</v>
      </c>
      <c r="H3" t="s">
        <v>70</v>
      </c>
      <c r="I3" t="s">
        <v>11</v>
      </c>
      <c r="J3" t="s">
        <v>64</v>
      </c>
    </row>
    <row r="4" spans="1:10" x14ac:dyDescent="0.25">
      <c r="A4" t="s">
        <v>71</v>
      </c>
      <c r="B4" t="s">
        <v>72</v>
      </c>
      <c r="C4" t="s">
        <v>73</v>
      </c>
      <c r="D4" t="s">
        <v>74</v>
      </c>
      <c r="E4" t="s">
        <v>75</v>
      </c>
      <c r="F4" t="s">
        <v>62</v>
      </c>
      <c r="G4" s="5">
        <v>75000</v>
      </c>
      <c r="H4" t="s">
        <v>63</v>
      </c>
      <c r="I4" t="s">
        <v>11</v>
      </c>
      <c r="J4" t="s">
        <v>76</v>
      </c>
    </row>
    <row r="5" spans="1:10" x14ac:dyDescent="0.25">
      <c r="A5" t="s">
        <v>77</v>
      </c>
      <c r="B5" t="s">
        <v>78</v>
      </c>
      <c r="C5" t="s">
        <v>79</v>
      </c>
      <c r="D5" t="s">
        <v>80</v>
      </c>
      <c r="E5" t="s">
        <v>81</v>
      </c>
      <c r="F5" t="s">
        <v>82</v>
      </c>
      <c r="G5" s="5">
        <v>30000</v>
      </c>
      <c r="H5" t="s">
        <v>63</v>
      </c>
      <c r="I5" t="s">
        <v>11</v>
      </c>
      <c r="J5" t="s">
        <v>83</v>
      </c>
    </row>
    <row r="6" spans="1:10" x14ac:dyDescent="0.25">
      <c r="A6" t="s">
        <v>84</v>
      </c>
      <c r="B6" t="s">
        <v>85</v>
      </c>
      <c r="C6" t="s">
        <v>86</v>
      </c>
      <c r="D6" t="s">
        <v>87</v>
      </c>
      <c r="E6" t="s">
        <v>88</v>
      </c>
      <c r="F6" t="s">
        <v>89</v>
      </c>
      <c r="G6" s="5">
        <v>45000</v>
      </c>
      <c r="H6" t="s">
        <v>70</v>
      </c>
      <c r="I6" t="s">
        <v>11</v>
      </c>
      <c r="J6" t="s">
        <v>90</v>
      </c>
    </row>
    <row r="7" spans="1:10" x14ac:dyDescent="0.25">
      <c r="A7" t="s">
        <v>91</v>
      </c>
      <c r="B7" t="s">
        <v>92</v>
      </c>
      <c r="C7" t="s">
        <v>93</v>
      </c>
      <c r="D7" t="s">
        <v>87</v>
      </c>
      <c r="E7" t="s">
        <v>94</v>
      </c>
      <c r="F7" t="s">
        <v>95</v>
      </c>
      <c r="G7" s="5">
        <v>25000</v>
      </c>
      <c r="H7" t="s">
        <v>63</v>
      </c>
      <c r="I7" t="s">
        <v>11</v>
      </c>
      <c r="J7" t="s">
        <v>90</v>
      </c>
    </row>
    <row r="8" spans="1:10" x14ac:dyDescent="0.25">
      <c r="A8" t="s">
        <v>96</v>
      </c>
      <c r="B8" t="s">
        <v>97</v>
      </c>
      <c r="C8" t="s">
        <v>98</v>
      </c>
      <c r="D8" t="s">
        <v>80</v>
      </c>
      <c r="E8" t="s">
        <v>99</v>
      </c>
      <c r="F8" t="s">
        <v>100</v>
      </c>
      <c r="G8" s="5">
        <v>35000</v>
      </c>
      <c r="H8" t="s">
        <v>101</v>
      </c>
      <c r="I8" t="s">
        <v>11</v>
      </c>
      <c r="J8" t="s">
        <v>83</v>
      </c>
    </row>
    <row r="9" spans="1:10" x14ac:dyDescent="0.25">
      <c r="A9" t="s">
        <v>102</v>
      </c>
      <c r="B9" t="s">
        <v>103</v>
      </c>
      <c r="C9" t="s">
        <v>104</v>
      </c>
      <c r="D9" t="s">
        <v>74</v>
      </c>
      <c r="E9" t="s">
        <v>105</v>
      </c>
      <c r="F9" t="s">
        <v>82</v>
      </c>
      <c r="G9" s="5">
        <v>60000</v>
      </c>
      <c r="H9" t="s">
        <v>63</v>
      </c>
      <c r="I9" t="s">
        <v>11</v>
      </c>
      <c r="J9" t="s">
        <v>76</v>
      </c>
    </row>
    <row r="10" spans="1:10" x14ac:dyDescent="0.25">
      <c r="A10" t="s">
        <v>106</v>
      </c>
      <c r="B10" t="s">
        <v>107</v>
      </c>
      <c r="C10" t="s">
        <v>108</v>
      </c>
      <c r="D10" t="s">
        <v>60</v>
      </c>
      <c r="E10" t="s">
        <v>109</v>
      </c>
      <c r="F10" t="s">
        <v>69</v>
      </c>
      <c r="G10" s="5">
        <v>20000</v>
      </c>
      <c r="H10" t="s">
        <v>70</v>
      </c>
      <c r="I10" t="s">
        <v>11</v>
      </c>
      <c r="J10" t="s">
        <v>64</v>
      </c>
    </row>
    <row r="11" spans="1:10" x14ac:dyDescent="0.25">
      <c r="A11" t="s">
        <v>110</v>
      </c>
      <c r="B11" t="s">
        <v>111</v>
      </c>
      <c r="C11" t="s">
        <v>112</v>
      </c>
      <c r="D11" t="s">
        <v>74</v>
      </c>
      <c r="E11" t="s">
        <v>113</v>
      </c>
      <c r="F11" t="s">
        <v>114</v>
      </c>
      <c r="G11" s="5">
        <v>55000</v>
      </c>
      <c r="H11" t="s">
        <v>63</v>
      </c>
      <c r="I11" t="s">
        <v>11</v>
      </c>
      <c r="J11" t="s">
        <v>76</v>
      </c>
    </row>
    <row r="12" spans="1:10" x14ac:dyDescent="0.25">
      <c r="A12" t="s">
        <v>115</v>
      </c>
      <c r="B12" t="s">
        <v>116</v>
      </c>
      <c r="C12" t="s">
        <v>117</v>
      </c>
      <c r="D12" t="s">
        <v>80</v>
      </c>
      <c r="E12" t="s">
        <v>118</v>
      </c>
      <c r="F12" t="s">
        <v>119</v>
      </c>
      <c r="G12" s="5">
        <v>18000</v>
      </c>
      <c r="H12" t="s">
        <v>70</v>
      </c>
      <c r="I12" t="s">
        <v>11</v>
      </c>
      <c r="J12" t="s">
        <v>83</v>
      </c>
    </row>
    <row r="13" spans="1:10" x14ac:dyDescent="0.25">
      <c r="A13" t="s">
        <v>120</v>
      </c>
      <c r="B13" t="s">
        <v>121</v>
      </c>
      <c r="C13" t="s">
        <v>122</v>
      </c>
      <c r="D13" t="s">
        <v>87</v>
      </c>
      <c r="E13" t="s">
        <v>123</v>
      </c>
      <c r="F13" t="s">
        <v>89</v>
      </c>
      <c r="G13" s="5">
        <v>40000</v>
      </c>
      <c r="H13" t="s">
        <v>63</v>
      </c>
      <c r="I13" t="s">
        <v>11</v>
      </c>
      <c r="J13" t="s">
        <v>90</v>
      </c>
    </row>
    <row r="14" spans="1:10" x14ac:dyDescent="0.25">
      <c r="A14" t="s">
        <v>124</v>
      </c>
      <c r="B14" t="s">
        <v>125</v>
      </c>
      <c r="C14" t="s">
        <v>126</v>
      </c>
      <c r="D14" t="s">
        <v>60</v>
      </c>
      <c r="E14" t="s">
        <v>127</v>
      </c>
      <c r="F14" t="s">
        <v>128</v>
      </c>
      <c r="G14" s="5">
        <v>22000</v>
      </c>
      <c r="H14" t="s">
        <v>63</v>
      </c>
      <c r="I14" t="s">
        <v>11</v>
      </c>
      <c r="J14" t="s">
        <v>64</v>
      </c>
    </row>
    <row r="15" spans="1:10" x14ac:dyDescent="0.25">
      <c r="A15" t="s">
        <v>129</v>
      </c>
      <c r="B15" t="s">
        <v>130</v>
      </c>
      <c r="C15" t="s">
        <v>131</v>
      </c>
      <c r="D15" t="s">
        <v>74</v>
      </c>
      <c r="E15" t="s">
        <v>132</v>
      </c>
      <c r="F15" t="s">
        <v>133</v>
      </c>
      <c r="G15" s="5">
        <v>45000</v>
      </c>
      <c r="H15" t="s">
        <v>101</v>
      </c>
      <c r="I15" t="s">
        <v>11</v>
      </c>
      <c r="J15" t="s">
        <v>76</v>
      </c>
    </row>
    <row r="16" spans="1:10" x14ac:dyDescent="0.25">
      <c r="A16" t="s">
        <v>134</v>
      </c>
      <c r="B16" t="s">
        <v>135</v>
      </c>
      <c r="C16" t="s">
        <v>136</v>
      </c>
      <c r="D16" t="s">
        <v>80</v>
      </c>
      <c r="E16" t="s">
        <v>137</v>
      </c>
      <c r="F16" t="s">
        <v>138</v>
      </c>
      <c r="G16" s="5">
        <v>65000</v>
      </c>
      <c r="H16" t="s">
        <v>70</v>
      </c>
      <c r="I16" t="s">
        <v>11</v>
      </c>
      <c r="J16" t="s">
        <v>83</v>
      </c>
    </row>
    <row r="17" spans="1:10" x14ac:dyDescent="0.25">
      <c r="A17" t="s">
        <v>139</v>
      </c>
      <c r="B17" t="s">
        <v>140</v>
      </c>
      <c r="C17" t="s">
        <v>141</v>
      </c>
      <c r="D17" t="s">
        <v>87</v>
      </c>
      <c r="E17" t="s">
        <v>142</v>
      </c>
      <c r="F17" t="s">
        <v>95</v>
      </c>
      <c r="G17" s="5">
        <v>28000</v>
      </c>
      <c r="H17" t="s">
        <v>63</v>
      </c>
      <c r="I17" t="s">
        <v>11</v>
      </c>
      <c r="J17" t="s">
        <v>90</v>
      </c>
    </row>
    <row r="18" spans="1:10" x14ac:dyDescent="0.25">
      <c r="A18" t="s">
        <v>143</v>
      </c>
      <c r="B18" t="s">
        <v>144</v>
      </c>
      <c r="C18" t="s">
        <v>145</v>
      </c>
      <c r="D18" t="s">
        <v>60</v>
      </c>
      <c r="E18" t="s">
        <v>146</v>
      </c>
      <c r="F18" t="s">
        <v>119</v>
      </c>
      <c r="G18" s="5">
        <v>70000</v>
      </c>
      <c r="H18" t="s">
        <v>63</v>
      </c>
      <c r="I18" t="s">
        <v>11</v>
      </c>
      <c r="J18" t="s">
        <v>64</v>
      </c>
    </row>
    <row r="19" spans="1:10" x14ac:dyDescent="0.25">
      <c r="A19" t="s">
        <v>147</v>
      </c>
      <c r="B19" t="s">
        <v>148</v>
      </c>
      <c r="C19" t="s">
        <v>149</v>
      </c>
      <c r="D19" t="s">
        <v>74</v>
      </c>
      <c r="E19" t="s">
        <v>150</v>
      </c>
      <c r="F19" t="s">
        <v>89</v>
      </c>
      <c r="G19" s="5">
        <v>80000</v>
      </c>
      <c r="H19" t="s">
        <v>63</v>
      </c>
      <c r="I19" t="s">
        <v>11</v>
      </c>
      <c r="J19" t="s">
        <v>76</v>
      </c>
    </row>
    <row r="20" spans="1:10" x14ac:dyDescent="0.25">
      <c r="A20" t="s">
        <v>151</v>
      </c>
      <c r="B20" t="s">
        <v>152</v>
      </c>
      <c r="C20" t="s">
        <v>153</v>
      </c>
      <c r="D20" t="s">
        <v>80</v>
      </c>
      <c r="E20" t="s">
        <v>154</v>
      </c>
      <c r="F20" t="s">
        <v>100</v>
      </c>
      <c r="G20" s="5">
        <v>55000</v>
      </c>
      <c r="H20" t="s">
        <v>101</v>
      </c>
      <c r="I20" t="s">
        <v>11</v>
      </c>
      <c r="J20" t="s">
        <v>83</v>
      </c>
    </row>
    <row r="21" spans="1:10" x14ac:dyDescent="0.25">
      <c r="A21" t="s">
        <v>155</v>
      </c>
      <c r="B21" t="s">
        <v>156</v>
      </c>
      <c r="C21" t="s">
        <v>157</v>
      </c>
      <c r="D21" t="s">
        <v>87</v>
      </c>
      <c r="E21" t="s">
        <v>158</v>
      </c>
      <c r="F21" t="s">
        <v>114</v>
      </c>
      <c r="G21" s="5">
        <v>90000</v>
      </c>
      <c r="H21" t="s">
        <v>70</v>
      </c>
      <c r="I21" t="s">
        <v>11</v>
      </c>
      <c r="J21" t="s">
        <v>90</v>
      </c>
    </row>
    <row r="22" spans="1:10" x14ac:dyDescent="0.25">
      <c r="A22" t="s">
        <v>653</v>
      </c>
      <c r="B22" t="s">
        <v>654</v>
      </c>
      <c r="C22" t="s">
        <v>655</v>
      </c>
      <c r="D22" t="s">
        <v>60</v>
      </c>
      <c r="E22" t="s">
        <v>656</v>
      </c>
      <c r="F22" t="s">
        <v>89</v>
      </c>
      <c r="G22" s="5">
        <v>42000</v>
      </c>
      <c r="H22" t="s">
        <v>63</v>
      </c>
      <c r="I22" t="s">
        <v>11</v>
      </c>
      <c r="J22" t="s">
        <v>64</v>
      </c>
    </row>
    <row r="23" spans="1:10" x14ac:dyDescent="0.25">
      <c r="A23" t="s">
        <v>657</v>
      </c>
      <c r="B23" t="s">
        <v>658</v>
      </c>
      <c r="C23" t="s">
        <v>659</v>
      </c>
      <c r="D23" t="s">
        <v>87</v>
      </c>
      <c r="E23" t="s">
        <v>660</v>
      </c>
      <c r="F23" t="s">
        <v>114</v>
      </c>
      <c r="G23" s="5">
        <v>58000</v>
      </c>
      <c r="H23" t="s">
        <v>63</v>
      </c>
      <c r="I23" t="s">
        <v>11</v>
      </c>
      <c r="J23" t="s">
        <v>90</v>
      </c>
    </row>
    <row r="24" spans="1:10" x14ac:dyDescent="0.25">
      <c r="A24" t="s">
        <v>661</v>
      </c>
      <c r="B24" t="s">
        <v>662</v>
      </c>
      <c r="C24" t="s">
        <v>663</v>
      </c>
      <c r="D24" t="s">
        <v>74</v>
      </c>
      <c r="E24" t="s">
        <v>664</v>
      </c>
      <c r="F24" t="s">
        <v>95</v>
      </c>
      <c r="G24" s="5">
        <v>32000</v>
      </c>
      <c r="H24" t="s">
        <v>70</v>
      </c>
      <c r="I24" t="s">
        <v>11</v>
      </c>
      <c r="J24" t="s">
        <v>76</v>
      </c>
    </row>
    <row r="25" spans="1:10" x14ac:dyDescent="0.25">
      <c r="A25" t="s">
        <v>665</v>
      </c>
      <c r="B25" t="s">
        <v>666</v>
      </c>
      <c r="C25" t="s">
        <v>667</v>
      </c>
      <c r="D25" t="s">
        <v>80</v>
      </c>
      <c r="E25" t="s">
        <v>668</v>
      </c>
      <c r="F25" t="s">
        <v>100</v>
      </c>
      <c r="G25" s="5">
        <v>48000</v>
      </c>
      <c r="H25" t="s">
        <v>101</v>
      </c>
      <c r="I25" t="s">
        <v>11</v>
      </c>
      <c r="J25" t="s">
        <v>83</v>
      </c>
    </row>
    <row r="26" spans="1:10" x14ac:dyDescent="0.25">
      <c r="A26" t="s">
        <v>669</v>
      </c>
      <c r="B26" t="s">
        <v>670</v>
      </c>
      <c r="C26" t="s">
        <v>671</v>
      </c>
      <c r="D26" t="s">
        <v>87</v>
      </c>
      <c r="E26" t="s">
        <v>672</v>
      </c>
      <c r="F26" t="s">
        <v>89</v>
      </c>
      <c r="G26" s="5">
        <v>38000</v>
      </c>
      <c r="H26" t="s">
        <v>63</v>
      </c>
      <c r="I26" t="s">
        <v>11</v>
      </c>
      <c r="J26" t="s">
        <v>90</v>
      </c>
    </row>
    <row r="27" spans="1:10" x14ac:dyDescent="0.25">
      <c r="A27" t="s">
        <v>673</v>
      </c>
      <c r="B27" t="s">
        <v>674</v>
      </c>
      <c r="C27" t="s">
        <v>675</v>
      </c>
      <c r="D27" t="s">
        <v>60</v>
      </c>
      <c r="E27" t="s">
        <v>676</v>
      </c>
      <c r="F27" t="s">
        <v>133</v>
      </c>
      <c r="G27" s="5">
        <v>65000</v>
      </c>
      <c r="H27" t="s">
        <v>63</v>
      </c>
      <c r="I27" t="s">
        <v>11</v>
      </c>
      <c r="J27" t="s">
        <v>64</v>
      </c>
    </row>
    <row r="28" spans="1:10" x14ac:dyDescent="0.25">
      <c r="A28" t="s">
        <v>677</v>
      </c>
      <c r="B28" t="s">
        <v>678</v>
      </c>
      <c r="C28" t="s">
        <v>679</v>
      </c>
      <c r="D28" t="s">
        <v>74</v>
      </c>
      <c r="E28" t="s">
        <v>680</v>
      </c>
      <c r="F28" t="s">
        <v>114</v>
      </c>
      <c r="G28" s="5">
        <v>72000</v>
      </c>
      <c r="H28" t="s">
        <v>63</v>
      </c>
      <c r="I28" t="s">
        <v>11</v>
      </c>
      <c r="J28" t="s">
        <v>76</v>
      </c>
    </row>
    <row r="29" spans="1:10" x14ac:dyDescent="0.25">
      <c r="A29" t="s">
        <v>681</v>
      </c>
      <c r="B29" t="s">
        <v>682</v>
      </c>
      <c r="C29" t="s">
        <v>683</v>
      </c>
      <c r="D29" t="s">
        <v>80</v>
      </c>
      <c r="E29" t="s">
        <v>684</v>
      </c>
      <c r="F29" t="s">
        <v>685</v>
      </c>
      <c r="G29" s="5">
        <v>35000</v>
      </c>
      <c r="H29" t="s">
        <v>70</v>
      </c>
      <c r="I29" t="s">
        <v>11</v>
      </c>
      <c r="J29" t="s">
        <v>83</v>
      </c>
    </row>
    <row r="30" spans="1:10" x14ac:dyDescent="0.25">
      <c r="A30" t="s">
        <v>686</v>
      </c>
      <c r="B30" t="s">
        <v>687</v>
      </c>
      <c r="C30" t="s">
        <v>688</v>
      </c>
      <c r="D30" t="s">
        <v>60</v>
      </c>
      <c r="E30" t="s">
        <v>689</v>
      </c>
      <c r="F30" t="s">
        <v>69</v>
      </c>
      <c r="G30" s="5">
        <v>18000</v>
      </c>
      <c r="H30" t="s">
        <v>70</v>
      </c>
      <c r="I30" t="s">
        <v>11</v>
      </c>
      <c r="J30" t="s">
        <v>64</v>
      </c>
    </row>
    <row r="31" spans="1:10" x14ac:dyDescent="0.25">
      <c r="A31" t="s">
        <v>690</v>
      </c>
      <c r="B31" t="s">
        <v>691</v>
      </c>
      <c r="C31" t="s">
        <v>692</v>
      </c>
      <c r="D31" t="s">
        <v>87</v>
      </c>
      <c r="E31" t="s">
        <v>693</v>
      </c>
      <c r="F31" t="s">
        <v>694</v>
      </c>
      <c r="G31" s="5">
        <v>28000</v>
      </c>
      <c r="H31" t="s">
        <v>63</v>
      </c>
      <c r="I31" t="s">
        <v>11</v>
      </c>
      <c r="J31" t="s">
        <v>90</v>
      </c>
    </row>
    <row r="32" spans="1:10" x14ac:dyDescent="0.25">
      <c r="A32" t="s">
        <v>695</v>
      </c>
      <c r="B32" t="s">
        <v>696</v>
      </c>
      <c r="C32" t="s">
        <v>697</v>
      </c>
      <c r="D32" t="s">
        <v>74</v>
      </c>
      <c r="E32" t="s">
        <v>698</v>
      </c>
      <c r="F32" t="s">
        <v>100</v>
      </c>
      <c r="G32" s="5">
        <v>52000</v>
      </c>
      <c r="H32" t="s">
        <v>101</v>
      </c>
      <c r="I32" t="s">
        <v>11</v>
      </c>
      <c r="J32" t="s">
        <v>76</v>
      </c>
    </row>
    <row r="33" spans="1:10" x14ac:dyDescent="0.25">
      <c r="A33" t="s">
        <v>699</v>
      </c>
      <c r="B33" t="s">
        <v>700</v>
      </c>
      <c r="C33" t="s">
        <v>701</v>
      </c>
      <c r="D33" t="s">
        <v>60</v>
      </c>
      <c r="E33" t="s">
        <v>127</v>
      </c>
      <c r="F33" t="s">
        <v>89</v>
      </c>
      <c r="G33" s="5">
        <v>85000</v>
      </c>
      <c r="H33" t="s">
        <v>63</v>
      </c>
      <c r="I33" t="s">
        <v>11</v>
      </c>
      <c r="J33" t="s">
        <v>64</v>
      </c>
    </row>
    <row r="34" spans="1:10" x14ac:dyDescent="0.25">
      <c r="A34" t="s">
        <v>702</v>
      </c>
      <c r="B34" t="s">
        <v>703</v>
      </c>
      <c r="C34" t="s">
        <v>704</v>
      </c>
      <c r="D34" t="s">
        <v>87</v>
      </c>
      <c r="E34" t="s">
        <v>705</v>
      </c>
      <c r="F34" t="s">
        <v>62</v>
      </c>
      <c r="G34" s="5">
        <v>68000</v>
      </c>
      <c r="H34" t="s">
        <v>63</v>
      </c>
      <c r="I34" t="s">
        <v>11</v>
      </c>
      <c r="J34" t="s">
        <v>90</v>
      </c>
    </row>
    <row r="35" spans="1:10" x14ac:dyDescent="0.25">
      <c r="A35" t="s">
        <v>706</v>
      </c>
      <c r="B35" t="s">
        <v>707</v>
      </c>
      <c r="C35" t="s">
        <v>708</v>
      </c>
      <c r="D35" t="s">
        <v>74</v>
      </c>
      <c r="E35" t="s">
        <v>709</v>
      </c>
      <c r="F35" t="s">
        <v>133</v>
      </c>
      <c r="G35" s="5">
        <v>55000</v>
      </c>
      <c r="H35" t="s">
        <v>101</v>
      </c>
      <c r="I35" t="s">
        <v>11</v>
      </c>
      <c r="J35" t="s">
        <v>76</v>
      </c>
    </row>
    <row r="36" spans="1:10" x14ac:dyDescent="0.25">
      <c r="A36" t="s">
        <v>710</v>
      </c>
      <c r="B36" t="s">
        <v>711</v>
      </c>
      <c r="C36" t="s">
        <v>712</v>
      </c>
      <c r="D36" t="s">
        <v>80</v>
      </c>
      <c r="E36" t="s">
        <v>713</v>
      </c>
      <c r="F36" t="s">
        <v>119</v>
      </c>
      <c r="G36" s="5">
        <v>24000</v>
      </c>
      <c r="H36" t="s">
        <v>70</v>
      </c>
      <c r="I36" t="s">
        <v>11</v>
      </c>
      <c r="J36" t="s">
        <v>83</v>
      </c>
    </row>
    <row r="37" spans="1:10" x14ac:dyDescent="0.25">
      <c r="A37" t="s">
        <v>714</v>
      </c>
      <c r="B37" t="s">
        <v>715</v>
      </c>
      <c r="C37" t="s">
        <v>716</v>
      </c>
      <c r="D37" t="s">
        <v>87</v>
      </c>
      <c r="E37" t="s">
        <v>717</v>
      </c>
      <c r="F37" t="s">
        <v>694</v>
      </c>
      <c r="G37" s="5">
        <v>48000</v>
      </c>
      <c r="H37" t="s">
        <v>63</v>
      </c>
      <c r="I37" t="s">
        <v>11</v>
      </c>
      <c r="J37" t="s">
        <v>90</v>
      </c>
    </row>
    <row r="38" spans="1:10" x14ac:dyDescent="0.25">
      <c r="A38" t="s">
        <v>718</v>
      </c>
      <c r="B38" t="s">
        <v>719</v>
      </c>
      <c r="C38" t="s">
        <v>720</v>
      </c>
      <c r="D38" t="s">
        <v>60</v>
      </c>
      <c r="E38" t="s">
        <v>721</v>
      </c>
      <c r="F38" t="s">
        <v>100</v>
      </c>
      <c r="G38" s="5">
        <v>62000</v>
      </c>
      <c r="H38" t="s">
        <v>101</v>
      </c>
      <c r="I38" t="s">
        <v>11</v>
      </c>
      <c r="J38" t="s">
        <v>64</v>
      </c>
    </row>
    <row r="39" spans="1:10" x14ac:dyDescent="0.25">
      <c r="A39" t="s">
        <v>722</v>
      </c>
      <c r="B39" t="s">
        <v>723</v>
      </c>
      <c r="C39" t="s">
        <v>724</v>
      </c>
      <c r="D39" t="s">
        <v>74</v>
      </c>
      <c r="E39" t="s">
        <v>725</v>
      </c>
      <c r="F39" t="s">
        <v>138</v>
      </c>
      <c r="G39" s="5">
        <v>95000</v>
      </c>
      <c r="H39" t="s">
        <v>63</v>
      </c>
      <c r="I39" t="s">
        <v>11</v>
      </c>
      <c r="J39" t="s">
        <v>76</v>
      </c>
    </row>
    <row r="40" spans="1:10" x14ac:dyDescent="0.25">
      <c r="A40" t="s">
        <v>726</v>
      </c>
      <c r="B40" t="s">
        <v>727</v>
      </c>
      <c r="C40" t="s">
        <v>318</v>
      </c>
      <c r="D40" t="s">
        <v>80</v>
      </c>
      <c r="E40" t="s">
        <v>728</v>
      </c>
      <c r="F40" t="s">
        <v>133</v>
      </c>
      <c r="G40" s="5">
        <v>78000</v>
      </c>
      <c r="H40" t="s">
        <v>63</v>
      </c>
      <c r="I40" t="s">
        <v>11</v>
      </c>
      <c r="J40" t="s">
        <v>83</v>
      </c>
    </row>
    <row r="41" spans="1:10" x14ac:dyDescent="0.25">
      <c r="A41" t="s">
        <v>729</v>
      </c>
      <c r="B41" t="s">
        <v>730</v>
      </c>
      <c r="C41" t="s">
        <v>731</v>
      </c>
      <c r="D41" t="s">
        <v>87</v>
      </c>
      <c r="E41" t="s">
        <v>732</v>
      </c>
      <c r="F41" t="s">
        <v>128</v>
      </c>
      <c r="G41" s="5">
        <v>45000</v>
      </c>
      <c r="H41" t="s">
        <v>63</v>
      </c>
      <c r="I41" t="s">
        <v>11</v>
      </c>
      <c r="J41" t="s">
        <v>90</v>
      </c>
    </row>
    <row r="42" spans="1:10" x14ac:dyDescent="0.25">
      <c r="A42" t="s">
        <v>733</v>
      </c>
      <c r="B42" t="s">
        <v>734</v>
      </c>
      <c r="C42" t="s">
        <v>735</v>
      </c>
      <c r="D42" t="s">
        <v>60</v>
      </c>
      <c r="E42" t="s">
        <v>736</v>
      </c>
      <c r="F42" t="s">
        <v>114</v>
      </c>
      <c r="G42" s="5">
        <v>67000</v>
      </c>
      <c r="H42" t="s">
        <v>63</v>
      </c>
      <c r="I42" t="s">
        <v>11</v>
      </c>
      <c r="J42" t="s">
        <v>64</v>
      </c>
    </row>
    <row r="43" spans="1:10" x14ac:dyDescent="0.25">
      <c r="A43" t="s">
        <v>737</v>
      </c>
      <c r="B43" t="s">
        <v>738</v>
      </c>
      <c r="C43" t="s">
        <v>739</v>
      </c>
      <c r="D43" t="s">
        <v>74</v>
      </c>
      <c r="E43" t="s">
        <v>740</v>
      </c>
      <c r="F43" t="s">
        <v>95</v>
      </c>
      <c r="G43" s="5">
        <v>34000</v>
      </c>
      <c r="H43" t="s">
        <v>70</v>
      </c>
      <c r="I43" t="s">
        <v>11</v>
      </c>
      <c r="J43" t="s">
        <v>76</v>
      </c>
    </row>
    <row r="44" spans="1:10" x14ac:dyDescent="0.25">
      <c r="A44" t="s">
        <v>741</v>
      </c>
      <c r="B44" t="s">
        <v>742</v>
      </c>
      <c r="C44" t="s">
        <v>743</v>
      </c>
      <c r="D44" t="s">
        <v>80</v>
      </c>
      <c r="E44" t="s">
        <v>744</v>
      </c>
      <c r="F44" t="s">
        <v>89</v>
      </c>
      <c r="G44" s="5">
        <v>120000</v>
      </c>
      <c r="H44" t="s">
        <v>70</v>
      </c>
      <c r="I44" t="s">
        <v>11</v>
      </c>
      <c r="J44" t="s">
        <v>83</v>
      </c>
    </row>
    <row r="45" spans="1:10" x14ac:dyDescent="0.25">
      <c r="A45" t="s">
        <v>745</v>
      </c>
      <c r="B45" t="s">
        <v>746</v>
      </c>
      <c r="C45" t="s">
        <v>747</v>
      </c>
      <c r="D45" t="s">
        <v>87</v>
      </c>
      <c r="E45" t="s">
        <v>142</v>
      </c>
      <c r="F45" t="s">
        <v>138</v>
      </c>
      <c r="G45" s="5">
        <v>88000</v>
      </c>
      <c r="H45" t="s">
        <v>63</v>
      </c>
      <c r="I45" t="s">
        <v>11</v>
      </c>
      <c r="J45" t="s">
        <v>90</v>
      </c>
    </row>
    <row r="46" spans="1:10" x14ac:dyDescent="0.25">
      <c r="A46" t="s">
        <v>748</v>
      </c>
      <c r="B46" t="s">
        <v>749</v>
      </c>
      <c r="C46" t="s">
        <v>750</v>
      </c>
      <c r="D46" t="s">
        <v>60</v>
      </c>
      <c r="E46" t="s">
        <v>751</v>
      </c>
      <c r="F46" t="s">
        <v>133</v>
      </c>
      <c r="G46" s="5">
        <v>42000</v>
      </c>
      <c r="H46" t="s">
        <v>101</v>
      </c>
      <c r="I46" t="s">
        <v>11</v>
      </c>
      <c r="J46" t="s">
        <v>64</v>
      </c>
    </row>
    <row r="47" spans="1:10" x14ac:dyDescent="0.25">
      <c r="A47" t="s">
        <v>752</v>
      </c>
      <c r="B47" t="s">
        <v>753</v>
      </c>
      <c r="C47" t="s">
        <v>754</v>
      </c>
      <c r="D47" t="s">
        <v>74</v>
      </c>
      <c r="E47" t="s">
        <v>755</v>
      </c>
      <c r="F47" t="s">
        <v>114</v>
      </c>
      <c r="G47" s="5">
        <v>76000</v>
      </c>
      <c r="H47" t="s">
        <v>63</v>
      </c>
      <c r="I47" t="s">
        <v>11</v>
      </c>
      <c r="J47" t="s">
        <v>76</v>
      </c>
    </row>
    <row r="48" spans="1:10" x14ac:dyDescent="0.25">
      <c r="A48" t="s">
        <v>756</v>
      </c>
      <c r="B48" t="s">
        <v>757</v>
      </c>
      <c r="C48" t="s">
        <v>758</v>
      </c>
      <c r="D48" t="s">
        <v>80</v>
      </c>
      <c r="E48" t="s">
        <v>759</v>
      </c>
      <c r="F48" t="s">
        <v>100</v>
      </c>
      <c r="G48" s="5">
        <v>58000</v>
      </c>
      <c r="H48" t="s">
        <v>101</v>
      </c>
      <c r="I48" t="s">
        <v>11</v>
      </c>
      <c r="J48" t="s">
        <v>83</v>
      </c>
    </row>
    <row r="49" spans="1:10" x14ac:dyDescent="0.25">
      <c r="A49" t="s">
        <v>760</v>
      </c>
      <c r="B49" t="s">
        <v>761</v>
      </c>
      <c r="C49" t="s">
        <v>762</v>
      </c>
      <c r="D49" t="s">
        <v>87</v>
      </c>
      <c r="E49" t="s">
        <v>763</v>
      </c>
      <c r="F49" t="s">
        <v>95</v>
      </c>
      <c r="G49" s="5">
        <v>29000</v>
      </c>
      <c r="H49" t="s">
        <v>70</v>
      </c>
      <c r="I49" t="s">
        <v>11</v>
      </c>
      <c r="J49" t="s">
        <v>90</v>
      </c>
    </row>
    <row r="50" spans="1:10" x14ac:dyDescent="0.25">
      <c r="A50" t="s">
        <v>764</v>
      </c>
      <c r="B50" t="s">
        <v>765</v>
      </c>
      <c r="C50" t="s">
        <v>766</v>
      </c>
      <c r="D50" t="s">
        <v>60</v>
      </c>
      <c r="E50" t="s">
        <v>767</v>
      </c>
      <c r="F50" t="s">
        <v>62</v>
      </c>
      <c r="G50" s="5">
        <v>54000</v>
      </c>
      <c r="H50" t="s">
        <v>63</v>
      </c>
      <c r="I50" t="s">
        <v>11</v>
      </c>
      <c r="J50" t="s">
        <v>64</v>
      </c>
    </row>
    <row r="51" spans="1:10" x14ac:dyDescent="0.25">
      <c r="A51" t="s">
        <v>768</v>
      </c>
      <c r="B51" t="s">
        <v>769</v>
      </c>
      <c r="C51" t="s">
        <v>770</v>
      </c>
      <c r="D51" t="s">
        <v>74</v>
      </c>
      <c r="E51" t="s">
        <v>771</v>
      </c>
      <c r="F51" t="s">
        <v>89</v>
      </c>
      <c r="G51" s="5">
        <v>92000</v>
      </c>
      <c r="H51" t="s">
        <v>63</v>
      </c>
      <c r="I51" t="s">
        <v>11</v>
      </c>
      <c r="J51" t="s">
        <v>76</v>
      </c>
    </row>
    <row r="52" spans="1:10" x14ac:dyDescent="0.25">
      <c r="A52" t="s">
        <v>772</v>
      </c>
      <c r="B52" t="s">
        <v>773</v>
      </c>
      <c r="C52" t="s">
        <v>774</v>
      </c>
      <c r="D52" t="s">
        <v>80</v>
      </c>
      <c r="E52" t="s">
        <v>775</v>
      </c>
      <c r="F52" t="s">
        <v>119</v>
      </c>
      <c r="G52" s="5">
        <v>31000</v>
      </c>
      <c r="H52" t="s">
        <v>70</v>
      </c>
      <c r="I52" t="s">
        <v>11</v>
      </c>
      <c r="J52" t="s">
        <v>83</v>
      </c>
    </row>
    <row r="53" spans="1:10" x14ac:dyDescent="0.25">
      <c r="A53" t="s">
        <v>776</v>
      </c>
      <c r="B53" t="s">
        <v>777</v>
      </c>
      <c r="C53" t="s">
        <v>778</v>
      </c>
      <c r="D53" t="s">
        <v>87</v>
      </c>
      <c r="E53" t="s">
        <v>779</v>
      </c>
      <c r="F53" t="s">
        <v>114</v>
      </c>
      <c r="G53" s="5">
        <v>48000</v>
      </c>
      <c r="H53" t="s">
        <v>63</v>
      </c>
      <c r="I53" t="s">
        <v>11</v>
      </c>
      <c r="J53" t="s">
        <v>90</v>
      </c>
    </row>
    <row r="54" spans="1:10" x14ac:dyDescent="0.25">
      <c r="A54" t="s">
        <v>780</v>
      </c>
      <c r="B54" t="s">
        <v>781</v>
      </c>
      <c r="C54" t="s">
        <v>782</v>
      </c>
      <c r="D54" t="s">
        <v>60</v>
      </c>
      <c r="E54" t="s">
        <v>146</v>
      </c>
      <c r="F54" t="s">
        <v>89</v>
      </c>
      <c r="G54" s="5">
        <v>72000</v>
      </c>
      <c r="H54" t="s">
        <v>63</v>
      </c>
      <c r="I54" t="s">
        <v>11</v>
      </c>
      <c r="J54" t="s">
        <v>64</v>
      </c>
    </row>
    <row r="55" spans="1:10" x14ac:dyDescent="0.25">
      <c r="A55" t="s">
        <v>783</v>
      </c>
      <c r="B55" t="s">
        <v>784</v>
      </c>
      <c r="C55" t="s">
        <v>785</v>
      </c>
      <c r="D55" t="s">
        <v>74</v>
      </c>
      <c r="E55" t="s">
        <v>786</v>
      </c>
      <c r="F55" t="s">
        <v>100</v>
      </c>
      <c r="G55" s="5">
        <v>44000</v>
      </c>
      <c r="H55" t="s">
        <v>101</v>
      </c>
      <c r="I55" t="s">
        <v>11</v>
      </c>
      <c r="J55" t="s">
        <v>76</v>
      </c>
    </row>
    <row r="56" spans="1:10" x14ac:dyDescent="0.25">
      <c r="A56" t="s">
        <v>787</v>
      </c>
      <c r="B56" t="s">
        <v>788</v>
      </c>
      <c r="C56" t="s">
        <v>789</v>
      </c>
      <c r="D56" t="s">
        <v>87</v>
      </c>
      <c r="E56" t="s">
        <v>790</v>
      </c>
      <c r="F56" t="s">
        <v>133</v>
      </c>
      <c r="G56" s="5">
        <v>51000</v>
      </c>
      <c r="H56" t="s">
        <v>101</v>
      </c>
      <c r="I56" t="s">
        <v>11</v>
      </c>
      <c r="J56" t="s">
        <v>90</v>
      </c>
    </row>
    <row r="57" spans="1:10" x14ac:dyDescent="0.25">
      <c r="A57" t="s">
        <v>791</v>
      </c>
      <c r="B57" t="s">
        <v>792</v>
      </c>
      <c r="C57" t="s">
        <v>793</v>
      </c>
      <c r="D57" t="s">
        <v>80</v>
      </c>
      <c r="E57" t="s">
        <v>794</v>
      </c>
      <c r="F57" t="s">
        <v>69</v>
      </c>
      <c r="G57" s="5">
        <v>22000</v>
      </c>
      <c r="H57" t="s">
        <v>70</v>
      </c>
      <c r="I57" t="s">
        <v>11</v>
      </c>
      <c r="J57" t="s">
        <v>83</v>
      </c>
    </row>
    <row r="58" spans="1:10" x14ac:dyDescent="0.25">
      <c r="A58" t="s">
        <v>795</v>
      </c>
      <c r="B58" t="s">
        <v>796</v>
      </c>
      <c r="C58" t="s">
        <v>797</v>
      </c>
      <c r="D58" t="s">
        <v>60</v>
      </c>
      <c r="E58" t="s">
        <v>798</v>
      </c>
      <c r="F58" t="s">
        <v>82</v>
      </c>
      <c r="G58" s="5">
        <v>68000</v>
      </c>
      <c r="H58" t="s">
        <v>63</v>
      </c>
      <c r="I58" t="s">
        <v>11</v>
      </c>
      <c r="J58" t="s">
        <v>64</v>
      </c>
    </row>
    <row r="59" spans="1:10" x14ac:dyDescent="0.25">
      <c r="A59" t="s">
        <v>799</v>
      </c>
      <c r="B59" t="s">
        <v>800</v>
      </c>
      <c r="C59" t="s">
        <v>801</v>
      </c>
      <c r="D59" t="s">
        <v>74</v>
      </c>
      <c r="E59" t="s">
        <v>802</v>
      </c>
      <c r="F59" t="s">
        <v>114</v>
      </c>
      <c r="G59" s="5">
        <v>56000</v>
      </c>
      <c r="H59" t="s">
        <v>63</v>
      </c>
      <c r="I59" t="s">
        <v>11</v>
      </c>
      <c r="J59" t="s">
        <v>76</v>
      </c>
    </row>
    <row r="60" spans="1:10" x14ac:dyDescent="0.25">
      <c r="A60" t="s">
        <v>803</v>
      </c>
      <c r="B60" t="s">
        <v>804</v>
      </c>
      <c r="C60" t="s">
        <v>805</v>
      </c>
      <c r="D60" t="s">
        <v>80</v>
      </c>
      <c r="E60" t="s">
        <v>806</v>
      </c>
      <c r="F60" t="s">
        <v>95</v>
      </c>
      <c r="G60" s="5">
        <v>26000</v>
      </c>
      <c r="H60" t="s">
        <v>70</v>
      </c>
      <c r="I60" t="s">
        <v>11</v>
      </c>
      <c r="J60" t="s">
        <v>83</v>
      </c>
    </row>
    <row r="61" spans="1:10" x14ac:dyDescent="0.25">
      <c r="A61" t="s">
        <v>807</v>
      </c>
      <c r="B61" t="s">
        <v>808</v>
      </c>
      <c r="C61" t="s">
        <v>809</v>
      </c>
      <c r="D61" t="s">
        <v>87</v>
      </c>
      <c r="E61" t="s">
        <v>810</v>
      </c>
      <c r="F61" t="s">
        <v>89</v>
      </c>
      <c r="G61" s="5">
        <v>82000</v>
      </c>
      <c r="H61" t="s">
        <v>63</v>
      </c>
      <c r="I61" t="s">
        <v>11</v>
      </c>
      <c r="J61" t="s">
        <v>90</v>
      </c>
    </row>
    <row r="62" spans="1:10" x14ac:dyDescent="0.25">
      <c r="A62" t="s">
        <v>811</v>
      </c>
      <c r="B62" t="s">
        <v>812</v>
      </c>
      <c r="C62" t="s">
        <v>813</v>
      </c>
      <c r="D62" t="s">
        <v>60</v>
      </c>
      <c r="E62" t="s">
        <v>814</v>
      </c>
      <c r="F62" t="s">
        <v>100</v>
      </c>
      <c r="G62" s="5">
        <v>74000</v>
      </c>
      <c r="H62" t="s">
        <v>101</v>
      </c>
      <c r="I62" t="s">
        <v>11</v>
      </c>
      <c r="J62" t="s">
        <v>64</v>
      </c>
    </row>
    <row r="63" spans="1:10" x14ac:dyDescent="0.25">
      <c r="A63" t="s">
        <v>815</v>
      </c>
      <c r="B63" t="s">
        <v>816</v>
      </c>
      <c r="C63" t="s">
        <v>817</v>
      </c>
      <c r="D63" t="s">
        <v>74</v>
      </c>
      <c r="E63" t="s">
        <v>818</v>
      </c>
      <c r="F63" t="s">
        <v>138</v>
      </c>
      <c r="G63" s="5">
        <v>65000</v>
      </c>
      <c r="H63" t="s">
        <v>63</v>
      </c>
      <c r="I63" t="s">
        <v>11</v>
      </c>
      <c r="J63" t="s">
        <v>76</v>
      </c>
    </row>
    <row r="64" spans="1:10" x14ac:dyDescent="0.25">
      <c r="A64" t="s">
        <v>819</v>
      </c>
      <c r="B64" t="s">
        <v>820</v>
      </c>
      <c r="C64" t="s">
        <v>821</v>
      </c>
      <c r="D64" t="s">
        <v>80</v>
      </c>
      <c r="E64" t="s">
        <v>822</v>
      </c>
      <c r="F64" t="s">
        <v>685</v>
      </c>
      <c r="G64" s="5">
        <v>38000</v>
      </c>
      <c r="H64" t="s">
        <v>70</v>
      </c>
      <c r="I64" t="s">
        <v>11</v>
      </c>
      <c r="J64" t="s">
        <v>83</v>
      </c>
    </row>
    <row r="65" spans="1:10" x14ac:dyDescent="0.25">
      <c r="A65" t="s">
        <v>823</v>
      </c>
      <c r="B65" t="s">
        <v>824</v>
      </c>
      <c r="C65" t="s">
        <v>825</v>
      </c>
      <c r="D65" t="s">
        <v>87</v>
      </c>
      <c r="E65" t="s">
        <v>826</v>
      </c>
      <c r="F65" t="s">
        <v>133</v>
      </c>
      <c r="G65" s="5">
        <v>47000</v>
      </c>
      <c r="H65" t="s">
        <v>101</v>
      </c>
      <c r="I65" t="s">
        <v>11</v>
      </c>
      <c r="J65" t="s">
        <v>90</v>
      </c>
    </row>
    <row r="66" spans="1:10" x14ac:dyDescent="0.25">
      <c r="A66" t="s">
        <v>827</v>
      </c>
      <c r="B66" t="s">
        <v>828</v>
      </c>
      <c r="C66" t="s">
        <v>829</v>
      </c>
      <c r="D66" t="s">
        <v>60</v>
      </c>
      <c r="E66" t="s">
        <v>830</v>
      </c>
      <c r="F66" t="s">
        <v>114</v>
      </c>
      <c r="G66" s="5">
        <v>52000</v>
      </c>
      <c r="H66" t="s">
        <v>63</v>
      </c>
      <c r="I66" t="s">
        <v>11</v>
      </c>
      <c r="J66" t="s">
        <v>64</v>
      </c>
    </row>
    <row r="67" spans="1:10" x14ac:dyDescent="0.25">
      <c r="A67" t="s">
        <v>831</v>
      </c>
      <c r="B67" t="s">
        <v>832</v>
      </c>
      <c r="C67" t="s">
        <v>833</v>
      </c>
      <c r="D67" t="s">
        <v>74</v>
      </c>
      <c r="E67" t="s">
        <v>834</v>
      </c>
      <c r="F67" t="s">
        <v>694</v>
      </c>
      <c r="G67" s="5">
        <v>61000</v>
      </c>
      <c r="H67" t="s">
        <v>63</v>
      </c>
      <c r="I67" t="s">
        <v>11</v>
      </c>
      <c r="J67" t="s">
        <v>76</v>
      </c>
    </row>
    <row r="68" spans="1:10" x14ac:dyDescent="0.25">
      <c r="A68" t="s">
        <v>835</v>
      </c>
      <c r="B68" t="s">
        <v>836</v>
      </c>
      <c r="C68" t="s">
        <v>837</v>
      </c>
      <c r="D68" t="s">
        <v>80</v>
      </c>
      <c r="E68" t="s">
        <v>838</v>
      </c>
      <c r="F68" t="s">
        <v>100</v>
      </c>
      <c r="G68" s="5">
        <v>69000</v>
      </c>
      <c r="H68" t="s">
        <v>101</v>
      </c>
      <c r="I68" t="s">
        <v>11</v>
      </c>
      <c r="J68" t="s">
        <v>83</v>
      </c>
    </row>
    <row r="69" spans="1:10" x14ac:dyDescent="0.25">
      <c r="A69" t="s">
        <v>839</v>
      </c>
      <c r="B69" t="s">
        <v>840</v>
      </c>
      <c r="C69" t="s">
        <v>841</v>
      </c>
      <c r="D69" t="s">
        <v>87</v>
      </c>
      <c r="E69" t="s">
        <v>842</v>
      </c>
      <c r="F69" t="s">
        <v>89</v>
      </c>
      <c r="G69" s="5">
        <v>78000</v>
      </c>
      <c r="H69" t="s">
        <v>63</v>
      </c>
      <c r="I69" t="s">
        <v>11</v>
      </c>
      <c r="J69" t="s">
        <v>90</v>
      </c>
    </row>
    <row r="70" spans="1:10" x14ac:dyDescent="0.25">
      <c r="A70" t="s">
        <v>843</v>
      </c>
      <c r="B70" t="s">
        <v>844</v>
      </c>
      <c r="C70" t="s">
        <v>845</v>
      </c>
      <c r="D70" t="s">
        <v>60</v>
      </c>
      <c r="E70" t="s">
        <v>846</v>
      </c>
      <c r="F70" t="s">
        <v>119</v>
      </c>
      <c r="G70" s="5">
        <v>19000</v>
      </c>
      <c r="H70" t="s">
        <v>70</v>
      </c>
      <c r="I70" t="s">
        <v>11</v>
      </c>
      <c r="J70" t="s">
        <v>64</v>
      </c>
    </row>
    <row r="71" spans="1:10" x14ac:dyDescent="0.25">
      <c r="A71" t="s">
        <v>847</v>
      </c>
      <c r="B71" t="s">
        <v>848</v>
      </c>
      <c r="C71" t="s">
        <v>849</v>
      </c>
      <c r="D71" t="s">
        <v>74</v>
      </c>
      <c r="E71" t="s">
        <v>850</v>
      </c>
      <c r="F71" t="s">
        <v>133</v>
      </c>
      <c r="G71" s="5">
        <v>58000</v>
      </c>
      <c r="H71" t="s">
        <v>63</v>
      </c>
      <c r="I71" t="s">
        <v>11</v>
      </c>
      <c r="J71" t="s">
        <v>76</v>
      </c>
    </row>
    <row r="72" spans="1:10" x14ac:dyDescent="0.25">
      <c r="A72" t="s">
        <v>851</v>
      </c>
      <c r="B72" t="s">
        <v>852</v>
      </c>
      <c r="C72" t="s">
        <v>853</v>
      </c>
      <c r="D72" t="s">
        <v>80</v>
      </c>
      <c r="E72" t="s">
        <v>854</v>
      </c>
      <c r="F72" t="s">
        <v>95</v>
      </c>
      <c r="G72" s="5">
        <v>33000</v>
      </c>
      <c r="H72" t="s">
        <v>70</v>
      </c>
      <c r="I72" t="s">
        <v>11</v>
      </c>
      <c r="J72" t="s">
        <v>83</v>
      </c>
    </row>
    <row r="73" spans="1:10" x14ac:dyDescent="0.25">
      <c r="A73" t="s">
        <v>855</v>
      </c>
      <c r="B73" t="s">
        <v>856</v>
      </c>
      <c r="C73" t="s">
        <v>857</v>
      </c>
      <c r="D73" t="s">
        <v>87</v>
      </c>
      <c r="E73" t="s">
        <v>858</v>
      </c>
      <c r="F73" t="s">
        <v>114</v>
      </c>
      <c r="G73" s="5">
        <v>84000</v>
      </c>
      <c r="H73" t="s">
        <v>63</v>
      </c>
      <c r="I73" t="s">
        <v>11</v>
      </c>
      <c r="J73" t="s">
        <v>90</v>
      </c>
    </row>
    <row r="74" spans="1:10" x14ac:dyDescent="0.25">
      <c r="A74" t="s">
        <v>859</v>
      </c>
      <c r="B74" t="s">
        <v>860</v>
      </c>
      <c r="C74" t="s">
        <v>861</v>
      </c>
      <c r="D74" t="s">
        <v>60</v>
      </c>
      <c r="E74" t="s">
        <v>862</v>
      </c>
      <c r="F74" t="s">
        <v>89</v>
      </c>
      <c r="G74" s="5">
        <v>46000</v>
      </c>
      <c r="H74" t="s">
        <v>63</v>
      </c>
      <c r="I74" t="s">
        <v>11</v>
      </c>
      <c r="J74" t="s">
        <v>64</v>
      </c>
    </row>
    <row r="75" spans="1:10" x14ac:dyDescent="0.25">
      <c r="A75" t="s">
        <v>863</v>
      </c>
      <c r="B75" t="s">
        <v>864</v>
      </c>
      <c r="C75" t="s">
        <v>865</v>
      </c>
      <c r="D75" t="s">
        <v>74</v>
      </c>
      <c r="E75" t="s">
        <v>866</v>
      </c>
      <c r="F75" t="s">
        <v>100</v>
      </c>
      <c r="G75" s="5">
        <v>41000</v>
      </c>
      <c r="H75" t="s">
        <v>101</v>
      </c>
      <c r="I75" t="s">
        <v>11</v>
      </c>
      <c r="J75" t="s">
        <v>76</v>
      </c>
    </row>
    <row r="76" spans="1:10" x14ac:dyDescent="0.25">
      <c r="A76" t="s">
        <v>867</v>
      </c>
      <c r="B76" t="s">
        <v>868</v>
      </c>
      <c r="C76" t="s">
        <v>869</v>
      </c>
      <c r="D76" t="s">
        <v>87</v>
      </c>
      <c r="E76" t="s">
        <v>870</v>
      </c>
      <c r="F76" t="s">
        <v>133</v>
      </c>
      <c r="G76" s="5">
        <v>53000</v>
      </c>
      <c r="H76" t="s">
        <v>101</v>
      </c>
      <c r="I76" t="s">
        <v>11</v>
      </c>
      <c r="J76" t="s">
        <v>90</v>
      </c>
    </row>
    <row r="77" spans="1:10" x14ac:dyDescent="0.25">
      <c r="A77" t="s">
        <v>871</v>
      </c>
      <c r="B77" t="s">
        <v>872</v>
      </c>
      <c r="C77" t="s">
        <v>873</v>
      </c>
      <c r="D77" t="s">
        <v>80</v>
      </c>
      <c r="E77" t="s">
        <v>874</v>
      </c>
      <c r="F77" t="s">
        <v>62</v>
      </c>
      <c r="G77" s="5">
        <v>62000</v>
      </c>
      <c r="H77" t="s">
        <v>63</v>
      </c>
      <c r="I77" t="s">
        <v>11</v>
      </c>
      <c r="J77" t="s">
        <v>83</v>
      </c>
    </row>
    <row r="78" spans="1:10" x14ac:dyDescent="0.25">
      <c r="A78" t="s">
        <v>875</v>
      </c>
      <c r="B78" t="s">
        <v>876</v>
      </c>
      <c r="C78" t="s">
        <v>770</v>
      </c>
      <c r="D78" t="s">
        <v>60</v>
      </c>
      <c r="E78" t="s">
        <v>877</v>
      </c>
      <c r="F78" t="s">
        <v>89</v>
      </c>
      <c r="G78" s="5">
        <v>88000</v>
      </c>
      <c r="H78" t="s">
        <v>63</v>
      </c>
      <c r="I78" t="s">
        <v>11</v>
      </c>
      <c r="J78" t="s">
        <v>64</v>
      </c>
    </row>
    <row r="79" spans="1:10" x14ac:dyDescent="0.25">
      <c r="A79" t="s">
        <v>878</v>
      </c>
      <c r="B79" t="s">
        <v>879</v>
      </c>
      <c r="C79" t="s">
        <v>880</v>
      </c>
      <c r="D79" t="s">
        <v>74</v>
      </c>
      <c r="E79" t="s">
        <v>881</v>
      </c>
      <c r="F79" t="s">
        <v>82</v>
      </c>
      <c r="G79" s="5">
        <v>71000</v>
      </c>
      <c r="H79" t="s">
        <v>63</v>
      </c>
      <c r="I79" t="s">
        <v>11</v>
      </c>
      <c r="J79" t="s">
        <v>76</v>
      </c>
    </row>
    <row r="80" spans="1:10" x14ac:dyDescent="0.25">
      <c r="A80" t="s">
        <v>882</v>
      </c>
      <c r="B80" t="s">
        <v>883</v>
      </c>
      <c r="C80" t="s">
        <v>884</v>
      </c>
      <c r="D80" t="s">
        <v>80</v>
      </c>
      <c r="E80" t="s">
        <v>885</v>
      </c>
      <c r="F80" t="s">
        <v>114</v>
      </c>
      <c r="G80" s="5">
        <v>49000</v>
      </c>
      <c r="H80" t="s">
        <v>63</v>
      </c>
      <c r="I80" t="s">
        <v>11</v>
      </c>
      <c r="J80" t="s">
        <v>83</v>
      </c>
    </row>
    <row r="81" spans="1:10" x14ac:dyDescent="0.25">
      <c r="A81" t="s">
        <v>886</v>
      </c>
      <c r="B81" t="s">
        <v>887</v>
      </c>
      <c r="C81" t="s">
        <v>888</v>
      </c>
      <c r="D81" t="s">
        <v>87</v>
      </c>
      <c r="E81" t="s">
        <v>889</v>
      </c>
      <c r="F81" t="s">
        <v>95</v>
      </c>
      <c r="G81" s="5">
        <v>37000</v>
      </c>
      <c r="H81" t="s">
        <v>70</v>
      </c>
      <c r="I81" t="s">
        <v>11</v>
      </c>
      <c r="J81" t="s">
        <v>90</v>
      </c>
    </row>
    <row r="82" spans="1:10" x14ac:dyDescent="0.25">
      <c r="A82" t="s">
        <v>890</v>
      </c>
      <c r="B82" t="s">
        <v>891</v>
      </c>
      <c r="C82" t="s">
        <v>892</v>
      </c>
      <c r="D82" t="s">
        <v>60</v>
      </c>
      <c r="E82" t="s">
        <v>893</v>
      </c>
      <c r="F82" t="s">
        <v>694</v>
      </c>
      <c r="G82" s="5">
        <v>23000</v>
      </c>
      <c r="H82" t="s">
        <v>63</v>
      </c>
      <c r="I82" t="s">
        <v>11</v>
      </c>
      <c r="J82" t="s">
        <v>64</v>
      </c>
    </row>
    <row r="83" spans="1:10" x14ac:dyDescent="0.25">
      <c r="A83" t="s">
        <v>894</v>
      </c>
      <c r="B83" t="s">
        <v>895</v>
      </c>
      <c r="C83" t="s">
        <v>896</v>
      </c>
      <c r="D83" t="s">
        <v>87</v>
      </c>
      <c r="E83" t="s">
        <v>897</v>
      </c>
      <c r="F83" t="s">
        <v>100</v>
      </c>
      <c r="G83" s="5">
        <v>39000</v>
      </c>
      <c r="H83" t="s">
        <v>101</v>
      </c>
      <c r="I83" t="s">
        <v>11</v>
      </c>
      <c r="J83" t="s">
        <v>90</v>
      </c>
    </row>
    <row r="84" spans="1:10" x14ac:dyDescent="0.25">
      <c r="A84" t="s">
        <v>898</v>
      </c>
      <c r="B84" t="s">
        <v>899</v>
      </c>
      <c r="C84" t="s">
        <v>900</v>
      </c>
      <c r="D84" t="s">
        <v>80</v>
      </c>
      <c r="E84" t="s">
        <v>901</v>
      </c>
      <c r="F84" t="s">
        <v>89</v>
      </c>
      <c r="G84" s="5">
        <v>67000</v>
      </c>
      <c r="H84" t="s">
        <v>63</v>
      </c>
      <c r="I84" t="s">
        <v>11</v>
      </c>
      <c r="J84" t="s">
        <v>83</v>
      </c>
    </row>
    <row r="85" spans="1:10" x14ac:dyDescent="0.25">
      <c r="A85" t="s">
        <v>902</v>
      </c>
      <c r="B85" t="s">
        <v>903</v>
      </c>
      <c r="C85" t="s">
        <v>904</v>
      </c>
      <c r="D85" t="s">
        <v>74</v>
      </c>
      <c r="E85" t="s">
        <v>905</v>
      </c>
      <c r="F85" t="s">
        <v>133</v>
      </c>
      <c r="G85" s="5">
        <v>34000</v>
      </c>
      <c r="H85" t="s">
        <v>63</v>
      </c>
      <c r="I85" t="s">
        <v>11</v>
      </c>
      <c r="J85" t="s">
        <v>76</v>
      </c>
    </row>
    <row r="86" spans="1:10" x14ac:dyDescent="0.25">
      <c r="A86" t="s">
        <v>906</v>
      </c>
      <c r="B86" t="s">
        <v>907</v>
      </c>
      <c r="C86" t="s">
        <v>908</v>
      </c>
      <c r="D86" t="s">
        <v>87</v>
      </c>
      <c r="E86" t="s">
        <v>846</v>
      </c>
      <c r="F86" t="s">
        <v>69</v>
      </c>
      <c r="G86" s="5">
        <v>16000</v>
      </c>
      <c r="H86" t="s">
        <v>70</v>
      </c>
      <c r="I86" t="s">
        <v>11</v>
      </c>
      <c r="J86" t="s">
        <v>90</v>
      </c>
    </row>
    <row r="87" spans="1:10" x14ac:dyDescent="0.25">
      <c r="A87" t="s">
        <v>909</v>
      </c>
      <c r="B87" t="s">
        <v>910</v>
      </c>
      <c r="C87" t="s">
        <v>911</v>
      </c>
      <c r="D87" t="s">
        <v>60</v>
      </c>
      <c r="E87" t="s">
        <v>912</v>
      </c>
      <c r="F87" t="s">
        <v>95</v>
      </c>
      <c r="G87" s="5">
        <v>28000</v>
      </c>
      <c r="H87" t="s">
        <v>70</v>
      </c>
      <c r="I87" t="s">
        <v>11</v>
      </c>
      <c r="J87" t="s">
        <v>64</v>
      </c>
    </row>
    <row r="88" spans="1:10" x14ac:dyDescent="0.25">
      <c r="A88" t="s">
        <v>913</v>
      </c>
      <c r="B88" t="s">
        <v>914</v>
      </c>
      <c r="C88" t="s">
        <v>915</v>
      </c>
      <c r="D88" t="s">
        <v>74</v>
      </c>
      <c r="E88" t="s">
        <v>916</v>
      </c>
      <c r="F88" t="s">
        <v>100</v>
      </c>
      <c r="G88" s="5">
        <v>82000</v>
      </c>
      <c r="H88" t="s">
        <v>101</v>
      </c>
      <c r="I88" t="s">
        <v>11</v>
      </c>
      <c r="J88" t="s">
        <v>76</v>
      </c>
    </row>
    <row r="89" spans="1:10" x14ac:dyDescent="0.25">
      <c r="A89" t="s">
        <v>917</v>
      </c>
      <c r="B89" t="s">
        <v>918</v>
      </c>
      <c r="C89" t="s">
        <v>919</v>
      </c>
      <c r="D89" t="s">
        <v>80</v>
      </c>
      <c r="E89" t="s">
        <v>920</v>
      </c>
      <c r="F89" t="s">
        <v>62</v>
      </c>
      <c r="G89" s="5">
        <v>57000</v>
      </c>
      <c r="H89" t="s">
        <v>63</v>
      </c>
      <c r="I89" t="s">
        <v>11</v>
      </c>
      <c r="J89" t="s">
        <v>83</v>
      </c>
    </row>
    <row r="90" spans="1:10" x14ac:dyDescent="0.25">
      <c r="A90" t="s">
        <v>921</v>
      </c>
      <c r="B90" t="s">
        <v>922</v>
      </c>
      <c r="C90" t="s">
        <v>825</v>
      </c>
      <c r="D90" t="s">
        <v>87</v>
      </c>
      <c r="E90" t="s">
        <v>923</v>
      </c>
      <c r="F90" t="s">
        <v>89</v>
      </c>
      <c r="G90" s="5">
        <v>94000</v>
      </c>
      <c r="H90" t="s">
        <v>63</v>
      </c>
      <c r="I90" t="s">
        <v>11</v>
      </c>
      <c r="J90" t="s">
        <v>90</v>
      </c>
    </row>
    <row r="91" spans="1:10" x14ac:dyDescent="0.25">
      <c r="A91" t="s">
        <v>924</v>
      </c>
      <c r="B91" t="s">
        <v>925</v>
      </c>
      <c r="C91" t="s">
        <v>926</v>
      </c>
      <c r="D91" t="s">
        <v>60</v>
      </c>
      <c r="E91" t="s">
        <v>927</v>
      </c>
      <c r="F91" t="s">
        <v>133</v>
      </c>
      <c r="G91" s="5">
        <v>48000</v>
      </c>
      <c r="H91" t="s">
        <v>101</v>
      </c>
      <c r="I91" t="s">
        <v>11</v>
      </c>
      <c r="J91" t="s">
        <v>64</v>
      </c>
    </row>
    <row r="92" spans="1:10" x14ac:dyDescent="0.25">
      <c r="A92" t="s">
        <v>928</v>
      </c>
      <c r="B92" t="s">
        <v>929</v>
      </c>
      <c r="C92" t="s">
        <v>930</v>
      </c>
      <c r="D92" t="s">
        <v>74</v>
      </c>
      <c r="E92" t="s">
        <v>931</v>
      </c>
      <c r="F92" t="s">
        <v>138</v>
      </c>
      <c r="G92" s="5">
        <v>73000</v>
      </c>
      <c r="H92" t="s">
        <v>70</v>
      </c>
      <c r="I92" t="s">
        <v>11</v>
      </c>
      <c r="J92" t="s">
        <v>76</v>
      </c>
    </row>
    <row r="93" spans="1:10" x14ac:dyDescent="0.25">
      <c r="A93" t="s">
        <v>932</v>
      </c>
      <c r="B93" t="s">
        <v>933</v>
      </c>
      <c r="C93" t="s">
        <v>934</v>
      </c>
      <c r="D93" t="s">
        <v>80</v>
      </c>
      <c r="E93" t="s">
        <v>935</v>
      </c>
      <c r="F93" t="s">
        <v>119</v>
      </c>
      <c r="G93" s="5">
        <v>35000</v>
      </c>
      <c r="H93" t="s">
        <v>70</v>
      </c>
      <c r="I93" t="s">
        <v>11</v>
      </c>
      <c r="J93" t="s">
        <v>83</v>
      </c>
    </row>
    <row r="94" spans="1:10" x14ac:dyDescent="0.25">
      <c r="A94" t="s">
        <v>936</v>
      </c>
      <c r="B94" t="s">
        <v>937</v>
      </c>
      <c r="C94" t="s">
        <v>938</v>
      </c>
      <c r="D94" t="s">
        <v>87</v>
      </c>
      <c r="E94" t="s">
        <v>158</v>
      </c>
      <c r="F94" t="s">
        <v>114</v>
      </c>
      <c r="G94" s="5">
        <v>115000</v>
      </c>
      <c r="H94" t="s">
        <v>63</v>
      </c>
      <c r="I94" t="s">
        <v>11</v>
      </c>
      <c r="J94" t="s">
        <v>90</v>
      </c>
    </row>
    <row r="95" spans="1:10" x14ac:dyDescent="0.25">
      <c r="A95" t="s">
        <v>939</v>
      </c>
      <c r="B95" t="s">
        <v>940</v>
      </c>
      <c r="C95" t="s">
        <v>941</v>
      </c>
      <c r="D95" t="s">
        <v>60</v>
      </c>
      <c r="E95" t="s">
        <v>109</v>
      </c>
      <c r="F95" t="s">
        <v>685</v>
      </c>
      <c r="G95" s="5">
        <v>42000</v>
      </c>
      <c r="H95" t="s">
        <v>70</v>
      </c>
      <c r="I95" t="s">
        <v>11</v>
      </c>
      <c r="J95" t="s">
        <v>64</v>
      </c>
    </row>
    <row r="96" spans="1:10" x14ac:dyDescent="0.25">
      <c r="A96" t="s">
        <v>942</v>
      </c>
      <c r="B96" t="s">
        <v>943</v>
      </c>
      <c r="C96" t="s">
        <v>944</v>
      </c>
      <c r="D96" t="s">
        <v>74</v>
      </c>
      <c r="E96" t="s">
        <v>945</v>
      </c>
      <c r="F96" t="s">
        <v>114</v>
      </c>
      <c r="G96" s="5">
        <v>68000</v>
      </c>
      <c r="H96" t="s">
        <v>63</v>
      </c>
      <c r="I96" t="s">
        <v>11</v>
      </c>
      <c r="J96" t="s">
        <v>76</v>
      </c>
    </row>
    <row r="97" spans="1:10" x14ac:dyDescent="0.25">
      <c r="A97" t="s">
        <v>946</v>
      </c>
      <c r="B97" t="s">
        <v>947</v>
      </c>
      <c r="C97" t="s">
        <v>948</v>
      </c>
      <c r="D97" t="s">
        <v>80</v>
      </c>
      <c r="E97" t="s">
        <v>744</v>
      </c>
      <c r="F97" t="s">
        <v>114</v>
      </c>
      <c r="G97" s="5">
        <v>79000</v>
      </c>
      <c r="H97" t="s">
        <v>63</v>
      </c>
      <c r="I97" t="s">
        <v>11</v>
      </c>
      <c r="J97" t="s">
        <v>83</v>
      </c>
    </row>
    <row r="98" spans="1:10" x14ac:dyDescent="0.25">
      <c r="A98" t="s">
        <v>949</v>
      </c>
      <c r="B98" t="s">
        <v>950</v>
      </c>
      <c r="C98" t="s">
        <v>951</v>
      </c>
      <c r="D98" t="s">
        <v>87</v>
      </c>
      <c r="E98" t="s">
        <v>952</v>
      </c>
      <c r="F98" t="s">
        <v>133</v>
      </c>
      <c r="G98" s="5">
        <v>36000</v>
      </c>
      <c r="H98" t="s">
        <v>101</v>
      </c>
      <c r="I98" t="s">
        <v>11</v>
      </c>
      <c r="J98" t="s">
        <v>90</v>
      </c>
    </row>
    <row r="99" spans="1:10" x14ac:dyDescent="0.25">
      <c r="A99" t="s">
        <v>953</v>
      </c>
      <c r="B99" t="s">
        <v>954</v>
      </c>
      <c r="C99" t="s">
        <v>955</v>
      </c>
      <c r="D99" t="s">
        <v>60</v>
      </c>
      <c r="E99" t="s">
        <v>956</v>
      </c>
      <c r="F99" t="s">
        <v>100</v>
      </c>
      <c r="G99" s="5">
        <v>51000</v>
      </c>
      <c r="H99" t="s">
        <v>101</v>
      </c>
      <c r="I99" t="s">
        <v>11</v>
      </c>
      <c r="J99" t="s">
        <v>64</v>
      </c>
    </row>
    <row r="100" spans="1:10" x14ac:dyDescent="0.25">
      <c r="A100" t="s">
        <v>957</v>
      </c>
      <c r="B100" t="s">
        <v>958</v>
      </c>
      <c r="C100" t="s">
        <v>959</v>
      </c>
      <c r="D100" t="s">
        <v>74</v>
      </c>
      <c r="E100" t="s">
        <v>960</v>
      </c>
      <c r="F100" t="s">
        <v>95</v>
      </c>
      <c r="G100" s="5">
        <v>44000</v>
      </c>
      <c r="H100" t="s">
        <v>70</v>
      </c>
      <c r="I100" t="s">
        <v>11</v>
      </c>
      <c r="J100" t="s">
        <v>76</v>
      </c>
    </row>
    <row r="101" spans="1:10" x14ac:dyDescent="0.25">
      <c r="A101" t="s">
        <v>961</v>
      </c>
      <c r="B101" t="s">
        <v>962</v>
      </c>
      <c r="C101" t="s">
        <v>963</v>
      </c>
      <c r="D101" t="s">
        <v>80</v>
      </c>
      <c r="E101" t="s">
        <v>964</v>
      </c>
      <c r="F101" t="s">
        <v>694</v>
      </c>
      <c r="G101" s="5">
        <v>59000</v>
      </c>
      <c r="H101" t="s">
        <v>63</v>
      </c>
      <c r="I101" t="s">
        <v>11</v>
      </c>
      <c r="J101" t="s">
        <v>83</v>
      </c>
    </row>
    <row r="102" spans="1:10" x14ac:dyDescent="0.25">
      <c r="A102" t="s">
        <v>965</v>
      </c>
      <c r="B102" t="s">
        <v>966</v>
      </c>
      <c r="C102" t="s">
        <v>967</v>
      </c>
      <c r="D102" t="s">
        <v>87</v>
      </c>
      <c r="E102" t="s">
        <v>123</v>
      </c>
      <c r="F102" t="s">
        <v>138</v>
      </c>
      <c r="G102" s="5">
        <v>125000</v>
      </c>
      <c r="H102" t="s">
        <v>63</v>
      </c>
      <c r="I102" t="s">
        <v>11</v>
      </c>
      <c r="J102" t="s">
        <v>90</v>
      </c>
    </row>
    <row r="103" spans="1:10" x14ac:dyDescent="0.25">
      <c r="A103" t="s">
        <v>968</v>
      </c>
      <c r="B103" t="s">
        <v>969</v>
      </c>
      <c r="C103" t="s">
        <v>970</v>
      </c>
      <c r="D103" t="s">
        <v>60</v>
      </c>
      <c r="E103" t="s">
        <v>971</v>
      </c>
      <c r="F103" t="s">
        <v>119</v>
      </c>
      <c r="G103" s="5">
        <v>27000</v>
      </c>
      <c r="H103" t="s">
        <v>70</v>
      </c>
      <c r="I103" t="s">
        <v>11</v>
      </c>
      <c r="J103" t="s">
        <v>64</v>
      </c>
    </row>
    <row r="104" spans="1:10" x14ac:dyDescent="0.25">
      <c r="A104" t="s">
        <v>972</v>
      </c>
      <c r="B104" t="s">
        <v>973</v>
      </c>
      <c r="C104" t="s">
        <v>974</v>
      </c>
      <c r="D104" t="s">
        <v>74</v>
      </c>
      <c r="E104" t="s">
        <v>975</v>
      </c>
      <c r="F104" t="s">
        <v>114</v>
      </c>
      <c r="G104" s="5">
        <v>71000</v>
      </c>
      <c r="H104" t="s">
        <v>63</v>
      </c>
      <c r="I104" t="s">
        <v>11</v>
      </c>
      <c r="J104" t="s">
        <v>76</v>
      </c>
    </row>
    <row r="105" spans="1:10" x14ac:dyDescent="0.25">
      <c r="A105" t="s">
        <v>976</v>
      </c>
      <c r="B105" t="s">
        <v>977</v>
      </c>
      <c r="C105" t="s">
        <v>978</v>
      </c>
      <c r="D105" t="s">
        <v>80</v>
      </c>
      <c r="E105" t="s">
        <v>979</v>
      </c>
      <c r="F105" t="s">
        <v>100</v>
      </c>
      <c r="G105" s="5">
        <v>64000</v>
      </c>
      <c r="H105" t="s">
        <v>101</v>
      </c>
      <c r="I105" t="s">
        <v>11</v>
      </c>
      <c r="J105" t="s">
        <v>83</v>
      </c>
    </row>
    <row r="106" spans="1:10" x14ac:dyDescent="0.25">
      <c r="A106" t="s">
        <v>980</v>
      </c>
      <c r="B106" t="s">
        <v>981</v>
      </c>
      <c r="C106" t="s">
        <v>982</v>
      </c>
      <c r="D106" t="s">
        <v>87</v>
      </c>
      <c r="E106" t="s">
        <v>983</v>
      </c>
      <c r="F106" t="s">
        <v>694</v>
      </c>
      <c r="G106" s="5">
        <v>32000</v>
      </c>
      <c r="H106" t="s">
        <v>63</v>
      </c>
      <c r="I106" t="s">
        <v>11</v>
      </c>
      <c r="J106" t="s">
        <v>90</v>
      </c>
    </row>
    <row r="107" spans="1:10" x14ac:dyDescent="0.25">
      <c r="A107" t="s">
        <v>984</v>
      </c>
      <c r="B107" t="s">
        <v>985</v>
      </c>
      <c r="C107" t="s">
        <v>986</v>
      </c>
      <c r="D107" t="s">
        <v>60</v>
      </c>
      <c r="E107" t="s">
        <v>987</v>
      </c>
      <c r="F107" t="s">
        <v>133</v>
      </c>
      <c r="G107" s="5">
        <v>39000</v>
      </c>
      <c r="H107" t="s">
        <v>63</v>
      </c>
      <c r="I107" t="s">
        <v>11</v>
      </c>
      <c r="J107" t="s">
        <v>64</v>
      </c>
    </row>
    <row r="108" spans="1:10" x14ac:dyDescent="0.25">
      <c r="A108" t="s">
        <v>988</v>
      </c>
      <c r="B108" t="s">
        <v>989</v>
      </c>
      <c r="C108" t="s">
        <v>990</v>
      </c>
      <c r="D108" t="s">
        <v>74</v>
      </c>
      <c r="E108" t="s">
        <v>725</v>
      </c>
      <c r="F108" t="s">
        <v>89</v>
      </c>
      <c r="G108" s="5">
        <v>87000</v>
      </c>
      <c r="H108" t="s">
        <v>63</v>
      </c>
      <c r="I108" t="s">
        <v>11</v>
      </c>
      <c r="J108" t="s">
        <v>76</v>
      </c>
    </row>
    <row r="109" spans="1:10" x14ac:dyDescent="0.25">
      <c r="A109" t="s">
        <v>991</v>
      </c>
      <c r="B109" t="s">
        <v>992</v>
      </c>
      <c r="C109" t="s">
        <v>993</v>
      </c>
      <c r="D109" t="s">
        <v>80</v>
      </c>
      <c r="E109" t="s">
        <v>994</v>
      </c>
      <c r="F109" t="s">
        <v>69</v>
      </c>
      <c r="G109" s="5">
        <v>24000</v>
      </c>
      <c r="H109" t="s">
        <v>70</v>
      </c>
      <c r="I109" t="s">
        <v>11</v>
      </c>
      <c r="J109" t="s">
        <v>83</v>
      </c>
    </row>
    <row r="110" spans="1:10" x14ac:dyDescent="0.25">
      <c r="A110" t="s">
        <v>995</v>
      </c>
      <c r="B110" t="s">
        <v>996</v>
      </c>
      <c r="C110" t="s">
        <v>997</v>
      </c>
      <c r="D110" t="s">
        <v>87</v>
      </c>
      <c r="E110" t="s">
        <v>998</v>
      </c>
      <c r="F110" t="s">
        <v>95</v>
      </c>
      <c r="G110" s="5">
        <v>31000</v>
      </c>
      <c r="H110" t="s">
        <v>70</v>
      </c>
      <c r="I110" t="s">
        <v>11</v>
      </c>
      <c r="J110" t="s">
        <v>90</v>
      </c>
    </row>
    <row r="111" spans="1:10" x14ac:dyDescent="0.25">
      <c r="A111" t="s">
        <v>999</v>
      </c>
      <c r="B111" t="s">
        <v>1000</v>
      </c>
      <c r="C111" t="s">
        <v>1001</v>
      </c>
      <c r="D111" t="s">
        <v>60</v>
      </c>
      <c r="E111" t="s">
        <v>1002</v>
      </c>
      <c r="F111" t="s">
        <v>114</v>
      </c>
      <c r="G111" s="5">
        <v>56000</v>
      </c>
      <c r="H111" t="s">
        <v>63</v>
      </c>
      <c r="I111" t="s">
        <v>11</v>
      </c>
      <c r="J111" t="s">
        <v>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6BD1F-0AFB-4778-ADE4-46C0DF5E1A0E}">
  <dimension ref="A1:J7"/>
  <sheetViews>
    <sheetView workbookViewId="0">
      <selection sqref="A1:H1"/>
    </sheetView>
  </sheetViews>
  <sheetFormatPr defaultRowHeight="15" x14ac:dyDescent="0.25"/>
  <cols>
    <col min="1" max="1" width="9.140625" customWidth="1"/>
    <col min="2" max="2" width="16" bestFit="1" customWidth="1"/>
    <col min="3" max="3" width="21.7109375" bestFit="1" customWidth="1"/>
    <col min="4" max="4" width="9.42578125" customWidth="1"/>
    <col min="5" max="5" width="11.140625" bestFit="1" customWidth="1"/>
    <col min="6" max="6" width="11.7109375" customWidth="1"/>
    <col min="7" max="7" width="16.140625" customWidth="1"/>
    <col min="8" max="8" width="21.140625" customWidth="1"/>
    <col min="9" max="9" width="12.42578125" bestFit="1" customWidth="1"/>
    <col min="10" max="10" width="16" bestFit="1" customWidth="1"/>
  </cols>
  <sheetData>
    <row r="1" spans="1:10" x14ac:dyDescent="0.25">
      <c r="A1" s="7" t="s">
        <v>159</v>
      </c>
      <c r="B1" s="7" t="s">
        <v>160</v>
      </c>
      <c r="C1" s="7" t="s">
        <v>161</v>
      </c>
      <c r="D1" s="7" t="s">
        <v>50</v>
      </c>
      <c r="E1" s="7" t="s">
        <v>162</v>
      </c>
      <c r="F1" s="7" t="s">
        <v>163</v>
      </c>
      <c r="G1" s="7" t="s">
        <v>164</v>
      </c>
      <c r="H1" s="7" t="s">
        <v>165</v>
      </c>
      <c r="I1" s="7" t="s">
        <v>166</v>
      </c>
      <c r="J1" s="7" t="s">
        <v>167</v>
      </c>
    </row>
    <row r="2" spans="1:10" x14ac:dyDescent="0.25">
      <c r="A2" t="s">
        <v>168</v>
      </c>
      <c r="B2" t="s">
        <v>64</v>
      </c>
      <c r="C2" t="s">
        <v>169</v>
      </c>
      <c r="D2" t="s">
        <v>60</v>
      </c>
      <c r="E2" t="s">
        <v>170</v>
      </c>
      <c r="F2" s="6">
        <v>43539</v>
      </c>
      <c r="G2" s="5">
        <v>65000</v>
      </c>
      <c r="H2" s="1">
        <v>5</v>
      </c>
      <c r="I2" t="s">
        <v>171</v>
      </c>
      <c r="J2" t="s">
        <v>172</v>
      </c>
    </row>
    <row r="3" spans="1:10" x14ac:dyDescent="0.25">
      <c r="A3" t="s">
        <v>173</v>
      </c>
      <c r="B3" t="s">
        <v>76</v>
      </c>
      <c r="C3" t="s">
        <v>174</v>
      </c>
      <c r="D3" t="s">
        <v>74</v>
      </c>
      <c r="E3" t="s">
        <v>175</v>
      </c>
      <c r="F3" s="6">
        <v>43983</v>
      </c>
      <c r="G3" s="5">
        <v>62000</v>
      </c>
      <c r="H3" s="1">
        <v>5</v>
      </c>
      <c r="I3" t="s">
        <v>176</v>
      </c>
      <c r="J3" t="s">
        <v>172</v>
      </c>
    </row>
    <row r="4" spans="1:10" x14ac:dyDescent="0.25">
      <c r="A4" t="s">
        <v>177</v>
      </c>
      <c r="B4" t="s">
        <v>83</v>
      </c>
      <c r="C4" t="s">
        <v>178</v>
      </c>
      <c r="D4" t="s">
        <v>80</v>
      </c>
      <c r="E4" t="s">
        <v>179</v>
      </c>
      <c r="F4" s="6">
        <v>43353</v>
      </c>
      <c r="G4" s="5">
        <v>68000</v>
      </c>
      <c r="H4" s="1">
        <v>5.5</v>
      </c>
      <c r="I4" t="s">
        <v>180</v>
      </c>
      <c r="J4" t="s">
        <v>181</v>
      </c>
    </row>
    <row r="5" spans="1:10" x14ac:dyDescent="0.25">
      <c r="A5" t="s">
        <v>182</v>
      </c>
      <c r="B5" t="s">
        <v>90</v>
      </c>
      <c r="C5" t="s">
        <v>183</v>
      </c>
      <c r="D5" t="s">
        <v>87</v>
      </c>
      <c r="E5" t="s">
        <v>184</v>
      </c>
      <c r="F5" s="6">
        <v>44216</v>
      </c>
      <c r="G5" s="5">
        <v>60000</v>
      </c>
      <c r="H5" s="1">
        <v>4.5</v>
      </c>
      <c r="I5" t="s">
        <v>185</v>
      </c>
      <c r="J5" t="s">
        <v>181</v>
      </c>
    </row>
    <row r="6" spans="1:10" x14ac:dyDescent="0.25">
      <c r="A6" t="s">
        <v>186</v>
      </c>
      <c r="B6" t="s">
        <v>172</v>
      </c>
      <c r="C6" t="s">
        <v>187</v>
      </c>
      <c r="D6" t="s">
        <v>60</v>
      </c>
      <c r="E6" t="s">
        <v>188</v>
      </c>
      <c r="F6" s="6">
        <v>42095</v>
      </c>
      <c r="G6" s="5">
        <v>85000</v>
      </c>
      <c r="H6" s="1">
        <v>6</v>
      </c>
      <c r="I6" t="s">
        <v>189</v>
      </c>
      <c r="J6" t="s">
        <v>190</v>
      </c>
    </row>
    <row r="7" spans="1:10" x14ac:dyDescent="0.25">
      <c r="A7" t="s">
        <v>191</v>
      </c>
      <c r="B7" t="s">
        <v>181</v>
      </c>
      <c r="C7" t="s">
        <v>192</v>
      </c>
      <c r="D7" t="s">
        <v>80</v>
      </c>
      <c r="E7" t="s">
        <v>193</v>
      </c>
      <c r="F7" s="6">
        <v>42566</v>
      </c>
      <c r="G7" s="5">
        <v>82000</v>
      </c>
      <c r="H7" s="1">
        <v>6</v>
      </c>
      <c r="I7" t="s">
        <v>194</v>
      </c>
      <c r="J7" t="s">
        <v>190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3B51-80A0-4897-81DF-A23CE1897A8B}">
  <dimension ref="A1:M34"/>
  <sheetViews>
    <sheetView workbookViewId="0">
      <selection sqref="A1:M1"/>
    </sheetView>
  </sheetViews>
  <sheetFormatPr defaultRowHeight="15" x14ac:dyDescent="0.25"/>
  <cols>
    <col min="1" max="1" width="20.7109375" bestFit="1" customWidth="1"/>
    <col min="2" max="3" width="12.140625" bestFit="1" customWidth="1"/>
    <col min="4" max="4" width="14.5703125" bestFit="1" customWidth="1"/>
    <col min="5" max="6" width="12.28515625" bestFit="1" customWidth="1"/>
    <col min="7" max="7" width="8.28515625" bestFit="1" customWidth="1"/>
    <col min="8" max="9" width="10.85546875" bestFit="1" customWidth="1"/>
    <col min="10" max="10" width="6.85546875" bestFit="1" customWidth="1"/>
    <col min="11" max="12" width="11.7109375" bestFit="1" customWidth="1"/>
    <col min="13" max="13" width="7.7109375" bestFit="1" customWidth="1"/>
  </cols>
  <sheetData>
    <row r="1" spans="1:13" ht="21" x14ac:dyDescent="0.35">
      <c r="A1" s="31" t="s">
        <v>255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3" spans="1:13" x14ac:dyDescent="0.25">
      <c r="A3" s="32" t="s">
        <v>256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x14ac:dyDescent="0.25">
      <c r="A4" s="10" t="s">
        <v>257</v>
      </c>
      <c r="B4" s="10" t="s">
        <v>258</v>
      </c>
      <c r="C4" s="10" t="s">
        <v>259</v>
      </c>
      <c r="D4" s="10" t="s">
        <v>260</v>
      </c>
      <c r="E4" s="10" t="s">
        <v>261</v>
      </c>
      <c r="F4" s="10" t="s">
        <v>262</v>
      </c>
      <c r="G4" s="10" t="s">
        <v>263</v>
      </c>
      <c r="H4" s="10" t="s">
        <v>264</v>
      </c>
      <c r="I4" s="10" t="s">
        <v>265</v>
      </c>
      <c r="J4" s="10" t="s">
        <v>266</v>
      </c>
      <c r="K4" s="10" t="s">
        <v>267</v>
      </c>
      <c r="L4" s="10" t="s">
        <v>268</v>
      </c>
      <c r="M4" s="10" t="s">
        <v>269</v>
      </c>
    </row>
    <row r="5" spans="1:13" x14ac:dyDescent="0.25">
      <c r="A5" t="s">
        <v>270</v>
      </c>
      <c r="B5" s="5">
        <v>15000</v>
      </c>
      <c r="C5" s="5">
        <f>SUMIFS('Sales Data'!$J:$J,'Sales Data'!$N:$N,"North",'Sales Data'!$B:$B,"&gt;=2024-01-01",'Sales Data'!$B:$B,"&lt;2024-02-01")</f>
        <v>5797.3</v>
      </c>
      <c r="D5" s="11">
        <f t="shared" ref="D5:D10" si="0">IF(B5=0,0,C5/B5)</f>
        <v>0.3864866666666667</v>
      </c>
      <c r="E5" s="5">
        <v>18000</v>
      </c>
      <c r="F5" s="5">
        <f>SUMIFS('Sales Data'!$J:$J,'Sales Data'!$N:$N,"South",'Sales Data'!$B:$B,"&gt;=2024-01-01",'Sales Data'!$B:$B,"&lt;2024-02-01")</f>
        <v>6926.8</v>
      </c>
      <c r="G5" s="11">
        <f t="shared" ref="G5:G10" si="1">IF(E5=0,0,F5/E5)</f>
        <v>0.38482222222222223</v>
      </c>
      <c r="H5" s="5">
        <v>16000</v>
      </c>
      <c r="I5" s="5">
        <f>SUMIFS('Sales Data'!$J:$J,'Sales Data'!$N:$N,"East",'Sales Data'!$B:$B,"&gt;=2024-01-01",'Sales Data'!$B:$B,"&lt;2024-02-01")</f>
        <v>8253.6</v>
      </c>
      <c r="J5" s="11">
        <f t="shared" ref="J5:J17" si="2">IF(H5=0,0,I5/H5)</f>
        <v>0.51585000000000003</v>
      </c>
      <c r="K5" s="5">
        <v>20000</v>
      </c>
      <c r="L5" s="5">
        <f>SUMIFS('Sales Data'!$J:$J,'Sales Data'!$N:$N,"West",'Sales Data'!$B:$B,"&gt;=2024-01-01",'Sales Data'!$B:$B,"&lt;2024-02-01")</f>
        <v>12391.5</v>
      </c>
      <c r="M5" s="11">
        <f t="shared" ref="M5:M17" si="3">IF(K5=0,0,L5/K5)</f>
        <v>0.61957499999999999</v>
      </c>
    </row>
    <row r="6" spans="1:13" x14ac:dyDescent="0.25">
      <c r="A6" t="s">
        <v>271</v>
      </c>
      <c r="B6" s="5">
        <v>16000</v>
      </c>
      <c r="C6" s="5">
        <f>SUMIFS('Sales Data'!$J:$J,'Sales Data'!$N:$N,"North",'Sales Data'!$B:$B,"&gt;=2024-02-01",'Sales Data'!$B:$B,"&lt;2024-03-01")</f>
        <v>4061.3</v>
      </c>
      <c r="D6" s="11">
        <f t="shared" si="0"/>
        <v>0.25383125000000001</v>
      </c>
      <c r="E6" s="5">
        <v>19000</v>
      </c>
      <c r="F6" s="5">
        <f>SUMIFS('Sales Data'!$J:$J,'Sales Data'!$N:$N,"South",'Sales Data'!$B:$B,"&gt;=2024-02-01",'Sales Data'!$B:$B,"&lt;2024-03-01")</f>
        <v>10256.5</v>
      </c>
      <c r="G6" s="11">
        <f t="shared" si="1"/>
        <v>0.53981578947368425</v>
      </c>
      <c r="H6" s="5">
        <v>17000</v>
      </c>
      <c r="I6" s="5">
        <f>SUMIFS('Sales Data'!$J:$J,'Sales Data'!$N:$N,"East",'Sales Data'!$B:$B,"&gt;=2024-02-01",'Sales Data'!$B:$B,"&lt;2024-03-01")</f>
        <v>6568.0999999999995</v>
      </c>
      <c r="J6" s="11">
        <f t="shared" si="2"/>
        <v>0.38635882352941175</v>
      </c>
      <c r="K6" s="5">
        <v>21000</v>
      </c>
      <c r="L6" s="5">
        <f>SUMIFS('Sales Data'!$J:$J,'Sales Data'!$N:$N,"West",'Sales Data'!$B:$B,"&gt;=2024-02-01",'Sales Data'!$B:$B,"&lt;2024-03-01")</f>
        <v>10643</v>
      </c>
      <c r="M6" s="11">
        <f t="shared" si="3"/>
        <v>0.50680952380952382</v>
      </c>
    </row>
    <row r="7" spans="1:13" x14ac:dyDescent="0.25">
      <c r="A7" t="s">
        <v>272</v>
      </c>
      <c r="B7" s="5">
        <v>18000</v>
      </c>
      <c r="C7" s="5">
        <f>SUMIFS('Sales Data'!$J:$J,'Sales Data'!$N:$N,"North",'Sales Data'!$B:$B,"&gt;=2024-03-01",'Sales Data'!$B:$B,"&lt;2024-04-01")</f>
        <v>7354.4</v>
      </c>
      <c r="D7" s="11">
        <f t="shared" si="0"/>
        <v>0.40857777777777776</v>
      </c>
      <c r="E7" s="5">
        <v>21000</v>
      </c>
      <c r="F7" s="5">
        <f>SUMIFS('Sales Data'!$J:$J,'Sales Data'!$N:$N,"South",'Sales Data'!$B:$B,"&gt;=2024-03-01",'Sales Data'!$B:$B,"&lt;2024-04-01")</f>
        <v>10960.500000000002</v>
      </c>
      <c r="G7" s="11">
        <f t="shared" si="1"/>
        <v>0.52192857142857152</v>
      </c>
      <c r="H7" s="5">
        <v>19000</v>
      </c>
      <c r="I7" s="5">
        <f>SUMIFS('Sales Data'!$J:$J,'Sales Data'!$N:$N,"East",'Sales Data'!$B:$B,"&gt;=2024-03-01",'Sales Data'!$B:$B,"&lt;2024-04-01")</f>
        <v>5161.8</v>
      </c>
      <c r="J7" s="11">
        <f t="shared" si="2"/>
        <v>0.27167368421052634</v>
      </c>
      <c r="K7" s="5">
        <v>24000</v>
      </c>
      <c r="L7" s="5">
        <f>SUMIFS('Sales Data'!$J:$J,'Sales Data'!$N:$N,"West",'Sales Data'!$B:$B,"&gt;=2024-03-01",'Sales Data'!$B:$B,"&lt;2024-04-01")</f>
        <v>9966.9000000000015</v>
      </c>
      <c r="M7" s="11">
        <f t="shared" si="3"/>
        <v>0.41528750000000009</v>
      </c>
    </row>
    <row r="8" spans="1:13" x14ac:dyDescent="0.25">
      <c r="A8" t="s">
        <v>273</v>
      </c>
      <c r="B8" s="5">
        <v>17000</v>
      </c>
      <c r="C8" s="5">
        <f>SUMIFS('Sales Data'!$J:$J,'Sales Data'!$N:$N,"North",'Sales Data'!$B:$B,"&gt;=2024-04-01",'Sales Data'!$B:$B,"&lt;2024-05-01")</f>
        <v>8410.5</v>
      </c>
      <c r="D8" s="11">
        <f t="shared" si="0"/>
        <v>0.49473529411764705</v>
      </c>
      <c r="E8" s="5">
        <v>20000</v>
      </c>
      <c r="F8" s="5">
        <f>SUMIFS('Sales Data'!$J:$J,'Sales Data'!$N:$N,"South",'Sales Data'!$B:$B,"&gt;=2024-04-01",'Sales Data'!$B:$B,"&lt;2024-05-01")</f>
        <v>9892.1</v>
      </c>
      <c r="G8" s="11">
        <f t="shared" si="1"/>
        <v>0.49460500000000002</v>
      </c>
      <c r="H8" s="5">
        <v>18000</v>
      </c>
      <c r="I8" s="5">
        <f>SUMIFS('Sales Data'!$J:$J,'Sales Data'!$N:$N,"East",'Sales Data'!$B:$B,"&gt;=2024-04-01",'Sales Data'!$B:$B,"&lt;2024-05-01")</f>
        <v>5307.1</v>
      </c>
      <c r="J8" s="11">
        <f t="shared" si="2"/>
        <v>0.29483888888888893</v>
      </c>
      <c r="K8" s="5">
        <v>22000</v>
      </c>
      <c r="L8" s="5">
        <f>SUMIFS('Sales Data'!$J:$J,'Sales Data'!$N:$N,"West",'Sales Data'!$B:$B,"&gt;=2024-04-01",'Sales Data'!$B:$B,"&lt;2024-05-01")</f>
        <v>11422</v>
      </c>
      <c r="M8" s="11">
        <f t="shared" si="3"/>
        <v>0.51918181818181819</v>
      </c>
    </row>
    <row r="9" spans="1:13" x14ac:dyDescent="0.25">
      <c r="A9" t="s">
        <v>274</v>
      </c>
      <c r="B9" s="5">
        <v>19000</v>
      </c>
      <c r="C9" s="5">
        <f>SUMIFS('Sales Data'!$J:$J,'Sales Data'!$N:$N,"North",'Sales Data'!$B:$B,"&gt;=2024-05-01",'Sales Data'!$B:$B,"&lt;2024-06-01")</f>
        <v>8158</v>
      </c>
      <c r="D9" s="11">
        <f t="shared" si="0"/>
        <v>0.42936842105263157</v>
      </c>
      <c r="E9" s="5">
        <v>22000</v>
      </c>
      <c r="F9" s="5">
        <f>SUMIFS('Sales Data'!$J:$J,'Sales Data'!$N:$N,"South",'Sales Data'!$B:$B,"&gt;=2024-05-01",'Sales Data'!$B:$B,"&lt;2024-06-01")</f>
        <v>10507.300000000001</v>
      </c>
      <c r="G9" s="11">
        <f t="shared" si="1"/>
        <v>0.4776045454545455</v>
      </c>
      <c r="H9" s="5">
        <v>20000</v>
      </c>
      <c r="I9" s="5">
        <f>SUMIFS('Sales Data'!$J:$J,'Sales Data'!$N:$N,"East",'Sales Data'!$B:$B,"&gt;=2024-05-01",'Sales Data'!$B:$B,"&lt;2024-06-01")</f>
        <v>9506.9</v>
      </c>
      <c r="J9" s="11">
        <f t="shared" si="2"/>
        <v>0.47534499999999996</v>
      </c>
      <c r="K9" s="5">
        <v>25000</v>
      </c>
      <c r="L9" s="5">
        <f>SUMIFS('Sales Data'!$J:$J,'Sales Data'!$N:$N,"West",'Sales Data'!$B:$B,"&gt;=2024-05-01",'Sales Data'!$B:$B,"&lt;2024-06-01")</f>
        <v>9595.2000000000007</v>
      </c>
      <c r="M9" s="11">
        <f t="shared" si="3"/>
        <v>0.38380800000000004</v>
      </c>
    </row>
    <row r="10" spans="1:13" x14ac:dyDescent="0.25">
      <c r="A10" t="s">
        <v>478</v>
      </c>
      <c r="B10" s="15">
        <v>20000</v>
      </c>
      <c r="C10">
        <f>SUMIFS('Sales Data'!$J:$J,'Sales Data'!$N:$N,"North",'Sales Data'!$B:$B,"&gt;=2024-06-01",'Sales Data'!$B:$B,"&lt;2024-07-01")</f>
        <v>6445.5999999999995</v>
      </c>
      <c r="D10" s="11">
        <f t="shared" si="0"/>
        <v>0.32227999999999996</v>
      </c>
      <c r="E10" s="15">
        <v>23000</v>
      </c>
      <c r="F10">
        <f>SUMIFS('Sales Data'!$J:$J,'Sales Data'!$N:$N,"South",'Sales Data'!$B:$B,"&gt;=2024-06-01",'Sales Data'!$B:$B,"&lt;2024-07-01")</f>
        <v>12713.5</v>
      </c>
      <c r="G10" s="11">
        <f t="shared" si="1"/>
        <v>0.55276086956521742</v>
      </c>
      <c r="H10" s="15">
        <v>21000</v>
      </c>
      <c r="I10">
        <f>SUMIFS('Sales Data'!$J:$J,'Sales Data'!$N:$N,"East",'Sales Data'!$B:$B,"&gt;=2024-06-01",'Sales Data'!$B:$B,"&lt;2024-07-01")</f>
        <v>5766.8</v>
      </c>
      <c r="J10" s="11">
        <f t="shared" si="2"/>
        <v>0.2746095238095238</v>
      </c>
      <c r="K10" s="15">
        <v>26000</v>
      </c>
      <c r="L10">
        <f>SUMIFS('Sales Data'!$J:$J,'Sales Data'!$N:$N,"West",'Sales Data'!$B:$B,"&gt;=2024-06-01",'Sales Data'!$B:$B,"&lt;2024-07-01")</f>
        <v>15061.4</v>
      </c>
      <c r="M10" s="11">
        <f t="shared" si="3"/>
        <v>0.5792846153846154</v>
      </c>
    </row>
    <row r="11" spans="1:13" x14ac:dyDescent="0.25">
      <c r="A11" s="32" t="s">
        <v>479</v>
      </c>
      <c r="B11" s="28"/>
      <c r="C11" s="28"/>
      <c r="D11" s="33"/>
      <c r="E11" s="28"/>
      <c r="F11" s="28"/>
      <c r="G11" s="33"/>
      <c r="H11" s="15">
        <v>22000</v>
      </c>
      <c r="I11">
        <f>SUMIFS('Sales Data'!$J:$J,'Sales Data'!$N:$N,"East",'Sales Data'!$B:$B,"&gt;=2024-07-01",'Sales Data'!$B:$B,"&lt;2024-08-01")</f>
        <v>9094.1000000000022</v>
      </c>
      <c r="J11" s="11">
        <f t="shared" si="2"/>
        <v>0.41336818181818191</v>
      </c>
      <c r="K11" s="15">
        <v>27000</v>
      </c>
      <c r="L11">
        <f>SUMIFS('Sales Data'!$J:$J,'Sales Data'!$N:$N,"West",'Sales Data'!$B:$B,"&gt;=2024-07-01",'Sales Data'!$B:$B,"&lt;2024-08-01")</f>
        <v>12010.9</v>
      </c>
      <c r="M11" s="11">
        <f t="shared" si="3"/>
        <v>0.44484814814814816</v>
      </c>
    </row>
    <row r="12" spans="1:13" x14ac:dyDescent="0.25">
      <c r="A12" s="10" t="s">
        <v>480</v>
      </c>
      <c r="B12" s="16">
        <v>20000</v>
      </c>
      <c r="C12" s="10">
        <f>SUMIFS('Sales Data'!$J:$J,'Sales Data'!$N:$N,"North",'Sales Data'!$B:$B,"&gt;=2024-08-01",'Sales Data'!$B:$B,"&lt;2024-09-01")</f>
        <v>8256.2000000000007</v>
      </c>
      <c r="D12" s="17">
        <f t="shared" ref="D12:D17" si="4">IF(B12=0,0,C12/B12)</f>
        <v>0.41281000000000001</v>
      </c>
      <c r="E12" s="16">
        <v>23000</v>
      </c>
      <c r="F12" s="10">
        <f>SUMIFS('Sales Data'!$J:$J,'Sales Data'!$N:$N,"South",'Sales Data'!$B:$B,"&gt;=2024-08-01",'Sales Data'!$B:$B,"&lt;2024-09-01")</f>
        <v>13590.4</v>
      </c>
      <c r="G12" s="17">
        <f t="shared" ref="G12:G17" si="5">IF(E12=0,0,F12/E12)</f>
        <v>0.59088695652173906</v>
      </c>
      <c r="H12" s="15">
        <v>21000</v>
      </c>
      <c r="I12">
        <f>SUMIFS('Sales Data'!$J:$J,'Sales Data'!$N:$N,"East",'Sales Data'!$B:$B,"&gt;=2024-08-01",'Sales Data'!$B:$B,"&lt;2024-09-01")</f>
        <v>8824.6</v>
      </c>
      <c r="J12" s="11">
        <f t="shared" si="2"/>
        <v>0.42021904761904766</v>
      </c>
      <c r="K12" s="15">
        <v>26000</v>
      </c>
      <c r="L12">
        <f>SUMIFS('Sales Data'!$J:$J,'Sales Data'!$N:$N,"West",'Sales Data'!$B:$B,"&gt;=2024-08-01",'Sales Data'!$B:$B,"&lt;2024-09-01")</f>
        <v>11716.2</v>
      </c>
      <c r="M12" s="11">
        <f t="shared" si="3"/>
        <v>0.45062307692307696</v>
      </c>
    </row>
    <row r="13" spans="1:13" x14ac:dyDescent="0.25">
      <c r="A13" t="s">
        <v>481</v>
      </c>
      <c r="B13" s="5">
        <v>19000</v>
      </c>
      <c r="C13" s="5">
        <f>SUMIFS('Sales Data'!$J:$J,'Sales Data'!$N:$N,"North",'Sales Data'!$B:$B,"&gt;=2024-09-01",'Sales Data'!$B:$B,"&lt;2024-10-01")</f>
        <v>6800.4</v>
      </c>
      <c r="D13" s="11">
        <f t="shared" si="4"/>
        <v>0.35791578947368419</v>
      </c>
      <c r="E13" s="5">
        <v>22000</v>
      </c>
      <c r="F13" s="5">
        <f>SUMIFS('Sales Data'!$J:$J,'Sales Data'!$N:$N,"South",'Sales Data'!$B:$B,"&gt;=2024-09-01",'Sales Data'!$B:$B,"&lt;2024-10-01")</f>
        <v>7468.4</v>
      </c>
      <c r="G13" s="11">
        <f t="shared" si="5"/>
        <v>0.33947272727272726</v>
      </c>
      <c r="H13" s="15">
        <v>20000</v>
      </c>
      <c r="I13">
        <f>SUMIFS('Sales Data'!$J:$J,'Sales Data'!$N:$N,"East",'Sales Data'!$B:$B,"&gt;=2024-09-01",'Sales Data'!$B:$B,"&lt;2024-10-01")</f>
        <v>8853.6</v>
      </c>
      <c r="J13" s="11">
        <f t="shared" si="2"/>
        <v>0.44268000000000002</v>
      </c>
      <c r="K13" s="15">
        <v>25000</v>
      </c>
      <c r="L13">
        <f>SUMIFS('Sales Data'!$J:$J,'Sales Data'!$N:$N,"West",'Sales Data'!$B:$B,"&gt;=2024-09-01",'Sales Data'!$B:$B,"&lt;2024-10-01")</f>
        <v>12058.599999999999</v>
      </c>
      <c r="M13" s="11">
        <f t="shared" si="3"/>
        <v>0.48234399999999994</v>
      </c>
    </row>
    <row r="14" spans="1:13" x14ac:dyDescent="0.25">
      <c r="A14" t="s">
        <v>482</v>
      </c>
      <c r="B14" s="5">
        <v>21000</v>
      </c>
      <c r="C14" s="5">
        <f>SUMIFS('Sales Data'!$J:$J,'Sales Data'!$N:$N,"North",'Sales Data'!$B:$B,"&gt;=2024-10-01",'Sales Data'!$B:$B,"&lt;2024-11-01")</f>
        <v>9692.5</v>
      </c>
      <c r="D14" s="11">
        <f t="shared" si="4"/>
        <v>0.46154761904761904</v>
      </c>
      <c r="E14" s="5">
        <v>24000</v>
      </c>
      <c r="F14" s="5">
        <f>SUMIFS('Sales Data'!$J:$J,'Sales Data'!$N:$N,"South",'Sales Data'!$B:$B,"&gt;=2024-10-01",'Sales Data'!$B:$B,"&lt;2024-11-01")</f>
        <v>13589.6</v>
      </c>
      <c r="G14" s="11">
        <f t="shared" si="5"/>
        <v>0.56623333333333337</v>
      </c>
      <c r="H14" s="15">
        <v>22000</v>
      </c>
      <c r="I14">
        <f>SUMIFS('Sales Data'!$J:$J,'Sales Data'!$N:$N,"East",'Sales Data'!$B:$B,"&gt;=2024-10-01",'Sales Data'!$B:$B,"&lt;2024-11-01")</f>
        <v>6079.5</v>
      </c>
      <c r="J14" s="11">
        <f t="shared" si="2"/>
        <v>0.27634090909090908</v>
      </c>
      <c r="K14" s="15">
        <v>27000</v>
      </c>
      <c r="L14">
        <f>SUMIFS('Sales Data'!$J:$J,'Sales Data'!$N:$N,"West",'Sales Data'!$B:$B,"&gt;=2024-10-01",'Sales Data'!$B:$B,"&lt;2024-11-01")</f>
        <v>13180.7</v>
      </c>
      <c r="M14" s="11">
        <f t="shared" si="3"/>
        <v>0.48817407407407409</v>
      </c>
    </row>
    <row r="15" spans="1:13" x14ac:dyDescent="0.25">
      <c r="A15" t="s">
        <v>483</v>
      </c>
      <c r="B15" s="5">
        <v>18000</v>
      </c>
      <c r="C15" s="5">
        <f>SUMIFS('Sales Data'!$J:$J,'Sales Data'!$N:$N,"North",'Sales Data'!$B:$B,"&gt;=2024-11-01",'Sales Data'!$B:$B,"&lt;2024-12-01")</f>
        <v>11164.900000000001</v>
      </c>
      <c r="D15" s="11">
        <f t="shared" si="4"/>
        <v>0.62027222222222234</v>
      </c>
      <c r="E15" s="5">
        <v>21000</v>
      </c>
      <c r="F15" s="5">
        <f>SUMIFS('Sales Data'!$J:$J,'Sales Data'!$N:$N,"South",'Sales Data'!$B:$B,"&gt;=2024-11-01",'Sales Data'!$B:$B,"&lt;2024-12-01")</f>
        <v>2997.9</v>
      </c>
      <c r="G15" s="11">
        <f t="shared" si="5"/>
        <v>0.14275714285714286</v>
      </c>
      <c r="H15" s="15">
        <v>19000</v>
      </c>
      <c r="I15">
        <f>SUMIFS('Sales Data'!$J:$J,'Sales Data'!$N:$N,"East",'Sales Data'!$B:$B,"&gt;=2024-11-01",'Sales Data'!$B:$B,"&lt;2024-12-01")</f>
        <v>7613.7999999999993</v>
      </c>
      <c r="J15" s="11">
        <f t="shared" si="2"/>
        <v>0.40072631578947365</v>
      </c>
      <c r="K15" s="15">
        <v>24000</v>
      </c>
      <c r="L15">
        <f>SUMIFS('Sales Data'!$J:$J,'Sales Data'!$N:$N,"West",'Sales Data'!$B:$B,"&gt;=2024-11-01",'Sales Data'!$B:$B,"&lt;2024-12-01")</f>
        <v>14448.400000000001</v>
      </c>
      <c r="M15" s="11">
        <f t="shared" si="3"/>
        <v>0.60201666666666676</v>
      </c>
    </row>
    <row r="16" spans="1:13" x14ac:dyDescent="0.25">
      <c r="A16" t="s">
        <v>484</v>
      </c>
      <c r="B16" s="5">
        <v>25000</v>
      </c>
      <c r="C16" s="5">
        <f>SUMIFS('Sales Data'!$J:$J,'Sales Data'!$N:$N,"North",'Sales Data'!$B:$B,"&gt;=2024-12-01",'Sales Data'!$B:$B,"&lt;2025-01-01")</f>
        <v>11725.7</v>
      </c>
      <c r="D16" s="11">
        <f t="shared" si="4"/>
        <v>0.46902800000000006</v>
      </c>
      <c r="E16" s="5">
        <v>28000</v>
      </c>
      <c r="F16" s="5">
        <f>SUMIFS('Sales Data'!$J:$J,'Sales Data'!$N:$N,"South",'Sales Data'!$B:$B,"&gt;=2024-12-01",'Sales Data'!$B:$B,"&lt;2025-01-01")</f>
        <v>26614.7</v>
      </c>
      <c r="G16" s="11">
        <f t="shared" si="5"/>
        <v>0.95052500000000006</v>
      </c>
      <c r="H16" s="15">
        <v>26000</v>
      </c>
      <c r="I16">
        <f>SUMIFS('Sales Data'!$J:$J,'Sales Data'!$N:$N,"East",'Sales Data'!$B:$B,"&gt;=2024-12-01",'Sales Data'!$B:$B,"&lt;2025-01-01")</f>
        <v>9129.7000000000007</v>
      </c>
      <c r="J16" s="11">
        <f t="shared" si="2"/>
        <v>0.3511423076923077</v>
      </c>
      <c r="K16" s="15">
        <v>32000</v>
      </c>
      <c r="L16">
        <f>SUMIFS('Sales Data'!$J:$J,'Sales Data'!$N:$N,"West",'Sales Data'!$B:$B,"&gt;=2024-12-01",'Sales Data'!$B:$B,"&lt;2025-01-01")</f>
        <v>12543.7</v>
      </c>
      <c r="M16" s="11">
        <f t="shared" si="3"/>
        <v>0.39199062500000004</v>
      </c>
    </row>
    <row r="17" spans="1:13" x14ac:dyDescent="0.25">
      <c r="A17" s="18" t="s">
        <v>407</v>
      </c>
      <c r="B17" s="19">
        <f>SUM(B5:B16)</f>
        <v>208000</v>
      </c>
      <c r="C17" s="19">
        <f>SUM(C5:C16)</f>
        <v>87866.8</v>
      </c>
      <c r="D17" s="20">
        <f t="shared" si="4"/>
        <v>0.4224365384615385</v>
      </c>
      <c r="E17" s="19">
        <f>SUM(E5:E16)</f>
        <v>241000</v>
      </c>
      <c r="F17" s="19">
        <f>SUM(F5:F16)</f>
        <v>125517.7</v>
      </c>
      <c r="G17" s="20">
        <f t="shared" si="5"/>
        <v>0.52082033195020749</v>
      </c>
      <c r="H17" s="19">
        <f>SUM(H5:H16)</f>
        <v>241000</v>
      </c>
      <c r="I17" s="19">
        <f>SUM(I5:I16)</f>
        <v>90159.6</v>
      </c>
      <c r="J17" s="20">
        <f t="shared" si="2"/>
        <v>0.37410622406639005</v>
      </c>
      <c r="K17" s="19">
        <f>SUM(K5:K16)</f>
        <v>299000</v>
      </c>
      <c r="L17" s="19">
        <f>SUM(L5:L16)</f>
        <v>145038.5</v>
      </c>
      <c r="M17" s="20">
        <f t="shared" si="3"/>
        <v>0.48507859531772574</v>
      </c>
    </row>
    <row r="18" spans="1:13" x14ac:dyDescent="0.25">
      <c r="A18" s="32" t="s">
        <v>275</v>
      </c>
      <c r="B18" s="28"/>
      <c r="C18" s="28"/>
      <c r="D18" s="28"/>
    </row>
    <row r="19" spans="1:13" x14ac:dyDescent="0.25">
      <c r="A19" s="30" t="s">
        <v>485</v>
      </c>
      <c r="B19" s="34"/>
      <c r="C19" s="34"/>
      <c r="D19" s="34"/>
      <c r="E19" s="34"/>
      <c r="F19" s="34"/>
      <c r="G19" s="34"/>
    </row>
    <row r="20" spans="1:13" x14ac:dyDescent="0.25">
      <c r="A20" s="18" t="s">
        <v>201</v>
      </c>
      <c r="B20" s="19" t="s">
        <v>486</v>
      </c>
      <c r="C20" s="19" t="s">
        <v>487</v>
      </c>
      <c r="D20" s="18" t="s">
        <v>488</v>
      </c>
      <c r="E20" s="18" t="s">
        <v>489</v>
      </c>
      <c r="F20" s="18" t="s">
        <v>490</v>
      </c>
      <c r="G20" s="18" t="s">
        <v>7</v>
      </c>
    </row>
    <row r="21" spans="1:13" x14ac:dyDescent="0.25">
      <c r="A21" t="s">
        <v>64</v>
      </c>
      <c r="B21" s="5">
        <v>200000</v>
      </c>
      <c r="C21" s="5">
        <f>SUMIF('Sales Data'!$M:$M,"Sarah Johnson",'Sales Data'!$J:$J)</f>
        <v>95716.999999999971</v>
      </c>
      <c r="D21" s="11">
        <f>IF(B21=0,0,C21/B21)</f>
        <v>0.47858499999999987</v>
      </c>
      <c r="E21" s="11">
        <v>0.05</v>
      </c>
      <c r="F21">
        <f>C21*E21</f>
        <v>4785.8499999999985</v>
      </c>
      <c r="G21" t="str">
        <f>IF(D21&gt;=1,"✓ Target Met",IF(D21&gt;=0.8,"⚡ Close","⚠ Below"))</f>
        <v>⚠ Below</v>
      </c>
    </row>
    <row r="22" spans="1:13" x14ac:dyDescent="0.25">
      <c r="A22" t="s">
        <v>76</v>
      </c>
      <c r="B22" s="12">
        <v>220000</v>
      </c>
      <c r="C22" s="12">
        <f>SUMIF('Sales Data'!$M:$M,"Mike Chen",'Sales Data'!$J:$J)</f>
        <v>134445.5</v>
      </c>
      <c r="D22" s="11">
        <f>IF(B22=0,0,C22/B22)</f>
        <v>0.61111590909090907</v>
      </c>
      <c r="E22" s="11">
        <v>0.05</v>
      </c>
      <c r="F22">
        <f>C22*E22</f>
        <v>6722.2750000000005</v>
      </c>
      <c r="G22" t="str">
        <f>IF(D22&gt;=1,"✓ Target Met",IF(D22&gt;=0.8,"⚡ Close","⚠ Below"))</f>
        <v>⚠ Below</v>
      </c>
    </row>
    <row r="23" spans="1:13" x14ac:dyDescent="0.25">
      <c r="A23" t="s">
        <v>83</v>
      </c>
      <c r="B23" s="1">
        <v>210000</v>
      </c>
      <c r="C23" s="1">
        <f>SUMIF('Sales Data'!$M:$M,"Lisa Wang",'Sales Data'!$J:$J)</f>
        <v>90159.599999999977</v>
      </c>
      <c r="D23" s="11">
        <f>IF(B23=0,0,C23/B23)</f>
        <v>0.42933142857142848</v>
      </c>
      <c r="E23" s="11">
        <v>5.5E-2</v>
      </c>
      <c r="F23">
        <f>C23*E23</f>
        <v>4958.7779999999984</v>
      </c>
      <c r="G23" t="str">
        <f>IF(D23&gt;=1,"✓ Target Met",IF(D23&gt;=0.8,"⚡ Close","⚠ Below"))</f>
        <v>⚠ Below</v>
      </c>
    </row>
    <row r="24" spans="1:13" x14ac:dyDescent="0.25">
      <c r="A24" t="s">
        <v>90</v>
      </c>
      <c r="B24" s="12">
        <v>250000</v>
      </c>
      <c r="C24" s="12">
        <f>SUMIF('Sales Data'!$M:$M,"Tom Martinez",'Sales Data'!$J:$J)</f>
        <v>145038.5</v>
      </c>
      <c r="D24" s="11">
        <f>IF(B24=0,0,C24/B24)</f>
        <v>0.58015399999999995</v>
      </c>
      <c r="E24" s="11">
        <v>4.4999999999999998E-2</v>
      </c>
      <c r="F24">
        <f>C24*E24</f>
        <v>6526.7325000000001</v>
      </c>
      <c r="G24" t="str">
        <f>IF(D24&gt;=1,"✓ Target Met",IF(D24&gt;=0.8,"⚡ Close","⚠ Below"))</f>
        <v>⚠ Below</v>
      </c>
    </row>
    <row r="25" spans="1:13" x14ac:dyDescent="0.25">
      <c r="A25" s="18" t="s">
        <v>407</v>
      </c>
      <c r="B25" s="19">
        <f>SUM(B21:B24)</f>
        <v>880000</v>
      </c>
      <c r="C25" s="19">
        <f>SUM(C21:C24)</f>
        <v>465360.6</v>
      </c>
      <c r="D25" s="20">
        <f>IF(B25=0,0,C25/B25)</f>
        <v>0.52881886363636366</v>
      </c>
      <c r="E25" s="18"/>
      <c r="F25" s="18">
        <f>SUM(F21:F24)</f>
        <v>22993.635499999997</v>
      </c>
      <c r="G25" s="18"/>
    </row>
    <row r="27" spans="1:13" x14ac:dyDescent="0.25">
      <c r="A27" s="30" t="s">
        <v>491</v>
      </c>
      <c r="B27" s="28"/>
      <c r="C27" s="28"/>
      <c r="D27" s="28"/>
    </row>
    <row r="28" spans="1:13" x14ac:dyDescent="0.25">
      <c r="A28" s="18" t="s">
        <v>276</v>
      </c>
      <c r="B28" s="18" t="s">
        <v>277</v>
      </c>
      <c r="C28" s="18" t="s">
        <v>278</v>
      </c>
      <c r="D28" s="18" t="s">
        <v>7</v>
      </c>
    </row>
    <row r="29" spans="1:13" x14ac:dyDescent="0.25">
      <c r="A29" t="s">
        <v>492</v>
      </c>
      <c r="B29" s="15">
        <v>880000</v>
      </c>
      <c r="C29">
        <f>SUM('Sales Data'!J:J)</f>
        <v>465360.6</v>
      </c>
      <c r="D29" t="str">
        <f t="shared" ref="D29:D34" si="6">IF(C29&gt;=B29,"✓ On Track","⚠ Below Target")</f>
        <v>⚠ Below Target</v>
      </c>
    </row>
    <row r="30" spans="1:13" x14ac:dyDescent="0.25">
      <c r="A30" t="s">
        <v>493</v>
      </c>
      <c r="B30" s="15">
        <v>580000</v>
      </c>
      <c r="C30">
        <f>SUM('Sales Data'!L:L)</f>
        <v>310342.59999999992</v>
      </c>
      <c r="D30" t="str">
        <f t="shared" si="6"/>
        <v>⚠ Below Target</v>
      </c>
    </row>
    <row r="31" spans="1:13" x14ac:dyDescent="0.25">
      <c r="A31" t="s">
        <v>281</v>
      </c>
      <c r="B31">
        <v>120</v>
      </c>
      <c r="C31">
        <f>COUNTA('Sales Data'!A:A)-1</f>
        <v>263</v>
      </c>
      <c r="D31" t="str">
        <f t="shared" si="6"/>
        <v>✓ On Track</v>
      </c>
    </row>
    <row r="32" spans="1:13" x14ac:dyDescent="0.25">
      <c r="A32" t="s">
        <v>280</v>
      </c>
      <c r="B32" s="15">
        <v>1500</v>
      </c>
      <c r="C32">
        <f>AVERAGE('Sales Data'!J:J)</f>
        <v>1769.4319391634981</v>
      </c>
      <c r="D32" t="str">
        <f t="shared" si="6"/>
        <v>✓ On Track</v>
      </c>
    </row>
    <row r="33" spans="1:4" x14ac:dyDescent="0.25">
      <c r="A33" t="s">
        <v>282</v>
      </c>
      <c r="B33" s="11">
        <v>0.6</v>
      </c>
      <c r="C33" s="1">
        <f>SUM('Sales Data'!L:L)/SUM('Sales Data'!J:J)</f>
        <v>0.66688628130529304</v>
      </c>
      <c r="D33" t="str">
        <f t="shared" si="6"/>
        <v>✓ On Track</v>
      </c>
    </row>
    <row r="34" spans="1:4" x14ac:dyDescent="0.25">
      <c r="A34" t="s">
        <v>283</v>
      </c>
      <c r="B34" s="15">
        <v>20</v>
      </c>
      <c r="C34">
        <f>COUNTA(Customers[Customer ID])</f>
        <v>110</v>
      </c>
      <c r="D34" t="str">
        <f t="shared" si="6"/>
        <v>✓ On Track</v>
      </c>
    </row>
  </sheetData>
  <mergeCells count="6">
    <mergeCell ref="A27:D27"/>
    <mergeCell ref="A1:M1"/>
    <mergeCell ref="A3:M3"/>
    <mergeCell ref="A11:G11"/>
    <mergeCell ref="A18:D18"/>
    <mergeCell ref="A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49D3-D702-4E7E-A859-E49DE0A70C98}">
  <dimension ref="A1:M71"/>
  <sheetViews>
    <sheetView workbookViewId="0">
      <selection sqref="A1:H1"/>
    </sheetView>
  </sheetViews>
  <sheetFormatPr defaultRowHeight="15" x14ac:dyDescent="0.25"/>
  <cols>
    <col min="1" max="1" width="16.42578125" customWidth="1"/>
    <col min="2" max="2" width="24.7109375" bestFit="1" customWidth="1"/>
    <col min="3" max="3" width="15.7109375" bestFit="1" customWidth="1"/>
    <col min="4" max="4" width="25.5703125" bestFit="1" customWidth="1"/>
    <col min="5" max="6" width="14.85546875" customWidth="1"/>
    <col min="7" max="7" width="20.140625" customWidth="1"/>
    <col min="8" max="8" width="12.5703125" bestFit="1" customWidth="1"/>
    <col min="9" max="9" width="17.28515625" customWidth="1"/>
    <col min="10" max="10" width="14.140625" bestFit="1" customWidth="1"/>
    <col min="11" max="11" width="26.5703125" bestFit="1" customWidth="1"/>
    <col min="12" max="12" width="15.140625" customWidth="1"/>
    <col min="13" max="13" width="36.28515625" bestFit="1" customWidth="1"/>
  </cols>
  <sheetData>
    <row r="1" spans="1:13" x14ac:dyDescent="0.25">
      <c r="A1" s="13" t="s">
        <v>284</v>
      </c>
      <c r="B1" s="13" t="s">
        <v>285</v>
      </c>
      <c r="C1" s="13" t="s">
        <v>286</v>
      </c>
      <c r="D1" s="13" t="s">
        <v>287</v>
      </c>
      <c r="E1" s="13" t="s">
        <v>288</v>
      </c>
      <c r="F1" s="13" t="s">
        <v>289</v>
      </c>
      <c r="G1" s="13" t="s">
        <v>290</v>
      </c>
      <c r="H1" s="13" t="s">
        <v>291</v>
      </c>
      <c r="I1" s="13" t="s">
        <v>292</v>
      </c>
      <c r="J1" s="13" t="s">
        <v>201</v>
      </c>
      <c r="K1" s="13" t="s">
        <v>293</v>
      </c>
      <c r="L1" s="13" t="s">
        <v>294</v>
      </c>
      <c r="M1" s="13" t="s">
        <v>295</v>
      </c>
    </row>
    <row r="2" spans="1:13" x14ac:dyDescent="0.25">
      <c r="A2" t="s">
        <v>296</v>
      </c>
      <c r="B2" t="s">
        <v>297</v>
      </c>
      <c r="C2" t="s">
        <v>298</v>
      </c>
      <c r="D2" t="s">
        <v>299</v>
      </c>
      <c r="E2" s="5">
        <v>125000</v>
      </c>
      <c r="F2" s="11">
        <v>0.75</v>
      </c>
      <c r="G2" s="5">
        <f t="shared" ref="G2:G14" si="0">E2*F2/100</f>
        <v>937.5</v>
      </c>
      <c r="H2" t="s">
        <v>300</v>
      </c>
      <c r="I2" s="6">
        <v>45458</v>
      </c>
      <c r="J2" t="s">
        <v>64</v>
      </c>
      <c r="K2" t="s">
        <v>301</v>
      </c>
      <c r="L2">
        <v>12</v>
      </c>
      <c r="M2" t="s">
        <v>302</v>
      </c>
    </row>
    <row r="3" spans="1:13" x14ac:dyDescent="0.25">
      <c r="A3" t="s">
        <v>303</v>
      </c>
      <c r="B3" t="s">
        <v>304</v>
      </c>
      <c r="C3" t="s">
        <v>305</v>
      </c>
      <c r="D3" t="s">
        <v>306</v>
      </c>
      <c r="E3" s="5">
        <v>85000</v>
      </c>
      <c r="F3" s="11">
        <v>0.6</v>
      </c>
      <c r="G3" s="5">
        <f t="shared" si="0"/>
        <v>510</v>
      </c>
      <c r="H3" t="s">
        <v>307</v>
      </c>
      <c r="I3" s="6">
        <v>45473</v>
      </c>
      <c r="J3" t="s">
        <v>83</v>
      </c>
      <c r="K3" t="s">
        <v>308</v>
      </c>
      <c r="L3">
        <v>8</v>
      </c>
      <c r="M3" t="s">
        <v>309</v>
      </c>
    </row>
    <row r="4" spans="1:13" x14ac:dyDescent="0.25">
      <c r="A4" t="s">
        <v>310</v>
      </c>
      <c r="B4" t="s">
        <v>311</v>
      </c>
      <c r="C4" t="s">
        <v>312</v>
      </c>
      <c r="D4" t="s">
        <v>313</v>
      </c>
      <c r="E4" s="5">
        <v>95000</v>
      </c>
      <c r="F4" s="11">
        <v>0.8</v>
      </c>
      <c r="G4" s="5">
        <f t="shared" si="0"/>
        <v>760</v>
      </c>
      <c r="H4" t="s">
        <v>300</v>
      </c>
      <c r="I4" s="6">
        <v>45463</v>
      </c>
      <c r="J4" t="s">
        <v>90</v>
      </c>
      <c r="K4" t="s">
        <v>314</v>
      </c>
      <c r="L4">
        <v>5</v>
      </c>
      <c r="M4" t="s">
        <v>315</v>
      </c>
    </row>
    <row r="5" spans="1:13" x14ac:dyDescent="0.25">
      <c r="A5" t="s">
        <v>316</v>
      </c>
      <c r="B5" t="s">
        <v>317</v>
      </c>
      <c r="C5" t="s">
        <v>318</v>
      </c>
      <c r="D5" t="s">
        <v>319</v>
      </c>
      <c r="E5" s="5">
        <v>150000</v>
      </c>
      <c r="F5" s="11">
        <v>0.4</v>
      </c>
      <c r="G5" s="5">
        <f t="shared" si="0"/>
        <v>600</v>
      </c>
      <c r="H5" t="s">
        <v>320</v>
      </c>
      <c r="I5" s="6">
        <v>45505</v>
      </c>
      <c r="J5" t="s">
        <v>76</v>
      </c>
      <c r="K5" t="s">
        <v>321</v>
      </c>
      <c r="L5">
        <v>20</v>
      </c>
      <c r="M5" t="s">
        <v>322</v>
      </c>
    </row>
    <row r="6" spans="1:13" x14ac:dyDescent="0.25">
      <c r="A6" t="s">
        <v>323</v>
      </c>
      <c r="B6" t="s">
        <v>324</v>
      </c>
      <c r="C6" t="s">
        <v>325</v>
      </c>
      <c r="D6" t="s">
        <v>326</v>
      </c>
      <c r="E6" s="5">
        <v>45000</v>
      </c>
      <c r="F6" s="11">
        <v>0.85</v>
      </c>
      <c r="G6" s="5">
        <f t="shared" si="0"/>
        <v>382.5</v>
      </c>
      <c r="H6" t="s">
        <v>327</v>
      </c>
      <c r="I6" s="6">
        <v>45453</v>
      </c>
      <c r="J6" t="s">
        <v>90</v>
      </c>
      <c r="K6" t="s">
        <v>328</v>
      </c>
      <c r="L6">
        <v>3</v>
      </c>
      <c r="M6" t="s">
        <v>329</v>
      </c>
    </row>
    <row r="7" spans="1:13" x14ac:dyDescent="0.25">
      <c r="A7" t="s">
        <v>330</v>
      </c>
      <c r="B7" t="s">
        <v>331</v>
      </c>
      <c r="C7" t="s">
        <v>332</v>
      </c>
      <c r="D7" t="s">
        <v>333</v>
      </c>
      <c r="E7" s="5">
        <v>78000</v>
      </c>
      <c r="F7" s="11">
        <v>0.5</v>
      </c>
      <c r="G7" s="5">
        <f t="shared" si="0"/>
        <v>390</v>
      </c>
      <c r="H7" t="s">
        <v>307</v>
      </c>
      <c r="I7" s="6">
        <v>45488</v>
      </c>
      <c r="J7" t="s">
        <v>76</v>
      </c>
      <c r="K7" t="s">
        <v>334</v>
      </c>
      <c r="L7">
        <v>15</v>
      </c>
      <c r="M7" t="s">
        <v>335</v>
      </c>
    </row>
    <row r="8" spans="1:13" x14ac:dyDescent="0.25">
      <c r="A8" t="s">
        <v>336</v>
      </c>
      <c r="B8" t="s">
        <v>337</v>
      </c>
      <c r="C8" t="s">
        <v>338</v>
      </c>
      <c r="D8" t="s">
        <v>20</v>
      </c>
      <c r="E8" s="5">
        <v>110000</v>
      </c>
      <c r="F8" s="11">
        <v>0.65</v>
      </c>
      <c r="G8" s="5">
        <f t="shared" si="0"/>
        <v>715</v>
      </c>
      <c r="H8" t="s">
        <v>307</v>
      </c>
      <c r="I8" s="6">
        <v>45474</v>
      </c>
      <c r="J8" t="s">
        <v>64</v>
      </c>
      <c r="K8" t="s">
        <v>339</v>
      </c>
      <c r="L8">
        <v>10</v>
      </c>
      <c r="M8" t="s">
        <v>340</v>
      </c>
    </row>
    <row r="9" spans="1:13" x14ac:dyDescent="0.25">
      <c r="A9" t="s">
        <v>341</v>
      </c>
      <c r="B9" t="s">
        <v>342</v>
      </c>
      <c r="C9" t="s">
        <v>343</v>
      </c>
      <c r="D9" t="s">
        <v>344</v>
      </c>
      <c r="E9" s="5">
        <v>200000</v>
      </c>
      <c r="F9" s="11">
        <v>0.3</v>
      </c>
      <c r="G9" s="5">
        <f t="shared" si="0"/>
        <v>600</v>
      </c>
      <c r="H9" t="s">
        <v>320</v>
      </c>
      <c r="I9" s="6">
        <v>45536</v>
      </c>
      <c r="J9" t="s">
        <v>83</v>
      </c>
      <c r="K9" t="s">
        <v>345</v>
      </c>
      <c r="L9">
        <v>25</v>
      </c>
      <c r="M9" t="s">
        <v>346</v>
      </c>
    </row>
    <row r="10" spans="1:13" x14ac:dyDescent="0.25">
      <c r="A10" t="s">
        <v>347</v>
      </c>
      <c r="B10" t="s">
        <v>348</v>
      </c>
      <c r="C10" t="s">
        <v>349</v>
      </c>
      <c r="D10" t="s">
        <v>350</v>
      </c>
      <c r="E10" s="5">
        <v>35000</v>
      </c>
      <c r="F10" s="11">
        <v>0.9</v>
      </c>
      <c r="G10" s="5">
        <f t="shared" si="0"/>
        <v>315</v>
      </c>
      <c r="H10" t="s">
        <v>327</v>
      </c>
      <c r="I10" s="6">
        <v>45448</v>
      </c>
      <c r="J10" t="s">
        <v>64</v>
      </c>
      <c r="K10" t="s">
        <v>351</v>
      </c>
      <c r="L10">
        <v>2</v>
      </c>
      <c r="M10" t="s">
        <v>352</v>
      </c>
    </row>
    <row r="11" spans="1:13" x14ac:dyDescent="0.25">
      <c r="A11" t="s">
        <v>353</v>
      </c>
      <c r="B11" t="s">
        <v>354</v>
      </c>
      <c r="C11" t="s">
        <v>355</v>
      </c>
      <c r="D11" t="s">
        <v>356</v>
      </c>
      <c r="E11" s="5">
        <v>175000</v>
      </c>
      <c r="F11" s="11">
        <v>0.55000000000000004</v>
      </c>
      <c r="G11" s="5">
        <f t="shared" si="0"/>
        <v>962.50000000000011</v>
      </c>
      <c r="H11" t="s">
        <v>300</v>
      </c>
      <c r="I11" s="6">
        <v>45493</v>
      </c>
      <c r="J11" t="s">
        <v>76</v>
      </c>
      <c r="K11" t="s">
        <v>357</v>
      </c>
      <c r="L11">
        <v>7</v>
      </c>
      <c r="M11" t="s">
        <v>358</v>
      </c>
    </row>
    <row r="12" spans="1:13" x14ac:dyDescent="0.25">
      <c r="A12" t="s">
        <v>359</v>
      </c>
      <c r="B12" t="s">
        <v>360</v>
      </c>
      <c r="C12" t="s">
        <v>361</v>
      </c>
      <c r="D12" t="s">
        <v>362</v>
      </c>
      <c r="E12" s="5">
        <v>55000</v>
      </c>
      <c r="F12" s="11">
        <v>0.7</v>
      </c>
      <c r="G12" s="5">
        <f t="shared" si="0"/>
        <v>385</v>
      </c>
      <c r="H12" t="s">
        <v>307</v>
      </c>
      <c r="I12" s="6">
        <v>45519</v>
      </c>
      <c r="J12" t="s">
        <v>83</v>
      </c>
      <c r="K12" t="s">
        <v>363</v>
      </c>
      <c r="L12">
        <v>6</v>
      </c>
      <c r="M12" t="s">
        <v>364</v>
      </c>
    </row>
    <row r="13" spans="1:13" x14ac:dyDescent="0.25">
      <c r="A13" t="s">
        <v>365</v>
      </c>
      <c r="B13" t="s">
        <v>366</v>
      </c>
      <c r="C13" t="s">
        <v>367</v>
      </c>
      <c r="D13" t="s">
        <v>368</v>
      </c>
      <c r="E13" s="5">
        <v>65000</v>
      </c>
      <c r="F13" s="11">
        <v>0.45</v>
      </c>
      <c r="G13" s="5">
        <f t="shared" si="0"/>
        <v>292.5</v>
      </c>
      <c r="H13" t="s">
        <v>320</v>
      </c>
      <c r="I13" s="6">
        <v>45505</v>
      </c>
      <c r="J13" t="s">
        <v>90</v>
      </c>
      <c r="K13" t="s">
        <v>369</v>
      </c>
      <c r="L13">
        <v>18</v>
      </c>
      <c r="M13" t="s">
        <v>370</v>
      </c>
    </row>
    <row r="14" spans="1:13" x14ac:dyDescent="0.25">
      <c r="A14" t="s">
        <v>1003</v>
      </c>
      <c r="B14" t="s">
        <v>1004</v>
      </c>
      <c r="C14" t="s">
        <v>1005</v>
      </c>
      <c r="D14" t="s">
        <v>1006</v>
      </c>
      <c r="E14" s="5">
        <v>72000</v>
      </c>
      <c r="F14" s="11">
        <v>65</v>
      </c>
      <c r="G14" s="5">
        <f t="shared" si="0"/>
        <v>46800</v>
      </c>
      <c r="H14" t="s">
        <v>307</v>
      </c>
      <c r="I14" s="6">
        <v>45488</v>
      </c>
      <c r="J14" t="s">
        <v>64</v>
      </c>
      <c r="K14" t="s">
        <v>1007</v>
      </c>
      <c r="L14">
        <v>9</v>
      </c>
      <c r="M14" t="s">
        <v>1008</v>
      </c>
    </row>
    <row r="15" spans="1:13" x14ac:dyDescent="0.25">
      <c r="A15" t="s">
        <v>1009</v>
      </c>
      <c r="B15" t="s">
        <v>1010</v>
      </c>
      <c r="C15" t="s">
        <v>1011</v>
      </c>
      <c r="D15" t="s">
        <v>350</v>
      </c>
      <c r="E15" s="5">
        <v>145000</v>
      </c>
      <c r="F15" s="11">
        <v>45</v>
      </c>
      <c r="G15" s="5">
        <f t="shared" ref="G15:G46" si="1">E15*F15/100</f>
        <v>65250</v>
      </c>
      <c r="H15" t="s">
        <v>320</v>
      </c>
      <c r="I15" s="6">
        <v>45536</v>
      </c>
      <c r="J15" t="s">
        <v>83</v>
      </c>
      <c r="K15" t="s">
        <v>1012</v>
      </c>
      <c r="L15">
        <v>22</v>
      </c>
      <c r="M15" t="s">
        <v>1013</v>
      </c>
    </row>
    <row r="16" spans="1:13" x14ac:dyDescent="0.25">
      <c r="A16" t="s">
        <v>1014</v>
      </c>
      <c r="B16" t="s">
        <v>1015</v>
      </c>
      <c r="C16" t="s">
        <v>1016</v>
      </c>
      <c r="D16" t="s">
        <v>1017</v>
      </c>
      <c r="E16" s="5">
        <v>88000</v>
      </c>
      <c r="F16" s="11">
        <v>70</v>
      </c>
      <c r="G16" s="5">
        <f t="shared" si="1"/>
        <v>61600</v>
      </c>
      <c r="H16" t="s">
        <v>300</v>
      </c>
      <c r="I16" s="6">
        <v>45473</v>
      </c>
      <c r="J16" t="s">
        <v>90</v>
      </c>
      <c r="K16" t="s">
        <v>1018</v>
      </c>
      <c r="L16">
        <v>8</v>
      </c>
      <c r="M16" t="s">
        <v>1019</v>
      </c>
    </row>
    <row r="17" spans="1:13" x14ac:dyDescent="0.25">
      <c r="A17" t="s">
        <v>1020</v>
      </c>
      <c r="B17" t="s">
        <v>1021</v>
      </c>
      <c r="C17" t="s">
        <v>1022</v>
      </c>
      <c r="D17" t="s">
        <v>1023</v>
      </c>
      <c r="E17" s="5">
        <v>54000</v>
      </c>
      <c r="F17" s="11">
        <v>80</v>
      </c>
      <c r="G17" s="5">
        <f t="shared" si="1"/>
        <v>43200</v>
      </c>
      <c r="H17" t="s">
        <v>327</v>
      </c>
      <c r="I17" s="6">
        <v>45458</v>
      </c>
      <c r="J17" t="s">
        <v>76</v>
      </c>
      <c r="K17" t="s">
        <v>1024</v>
      </c>
      <c r="L17">
        <v>4</v>
      </c>
      <c r="M17" t="s">
        <v>1025</v>
      </c>
    </row>
    <row r="18" spans="1:13" x14ac:dyDescent="0.25">
      <c r="A18" t="s">
        <v>1026</v>
      </c>
      <c r="B18" t="s">
        <v>1027</v>
      </c>
      <c r="C18" t="s">
        <v>1028</v>
      </c>
      <c r="D18" t="s">
        <v>1029</v>
      </c>
      <c r="E18" s="5">
        <v>165000</v>
      </c>
      <c r="F18" s="11">
        <v>35</v>
      </c>
      <c r="G18" s="5">
        <f t="shared" si="1"/>
        <v>57750</v>
      </c>
      <c r="H18" t="s">
        <v>320</v>
      </c>
      <c r="I18" s="6">
        <v>45566</v>
      </c>
      <c r="J18" t="s">
        <v>83</v>
      </c>
      <c r="K18" t="s">
        <v>345</v>
      </c>
      <c r="L18">
        <v>28</v>
      </c>
      <c r="M18" t="s">
        <v>1030</v>
      </c>
    </row>
    <row r="19" spans="1:13" x14ac:dyDescent="0.25">
      <c r="A19" t="s">
        <v>1031</v>
      </c>
      <c r="B19" t="s">
        <v>1032</v>
      </c>
      <c r="C19" t="s">
        <v>1033</v>
      </c>
      <c r="D19" t="s">
        <v>356</v>
      </c>
      <c r="E19" s="5">
        <v>92000</v>
      </c>
      <c r="F19" s="11">
        <v>55</v>
      </c>
      <c r="G19" s="5">
        <f t="shared" si="1"/>
        <v>50600</v>
      </c>
      <c r="H19" t="s">
        <v>307</v>
      </c>
      <c r="I19" s="6">
        <v>45505</v>
      </c>
      <c r="J19" t="s">
        <v>64</v>
      </c>
      <c r="K19" t="s">
        <v>1034</v>
      </c>
      <c r="L19">
        <v>12</v>
      </c>
      <c r="M19" t="s">
        <v>1035</v>
      </c>
    </row>
    <row r="20" spans="1:13" x14ac:dyDescent="0.25">
      <c r="A20" t="s">
        <v>1036</v>
      </c>
      <c r="B20" t="s">
        <v>1037</v>
      </c>
      <c r="C20" t="s">
        <v>1038</v>
      </c>
      <c r="D20" t="s">
        <v>1039</v>
      </c>
      <c r="E20" s="5">
        <v>78000</v>
      </c>
      <c r="F20" s="11">
        <v>60</v>
      </c>
      <c r="G20" s="5">
        <f t="shared" si="1"/>
        <v>46800</v>
      </c>
      <c r="H20" t="s">
        <v>307</v>
      </c>
      <c r="I20" s="6">
        <v>45493</v>
      </c>
      <c r="J20" t="s">
        <v>90</v>
      </c>
      <c r="K20" t="s">
        <v>1040</v>
      </c>
      <c r="L20">
        <v>10</v>
      </c>
      <c r="M20" t="s">
        <v>1041</v>
      </c>
    </row>
    <row r="21" spans="1:13" x14ac:dyDescent="0.25">
      <c r="A21" t="s">
        <v>1042</v>
      </c>
      <c r="B21" t="s">
        <v>1043</v>
      </c>
      <c r="C21" t="s">
        <v>1044</v>
      </c>
      <c r="D21" t="s">
        <v>362</v>
      </c>
      <c r="E21" s="5">
        <v>63000</v>
      </c>
      <c r="F21" s="11">
        <v>75</v>
      </c>
      <c r="G21" s="5">
        <f t="shared" si="1"/>
        <v>47250</v>
      </c>
      <c r="H21" t="s">
        <v>300</v>
      </c>
      <c r="I21" s="6">
        <v>45468</v>
      </c>
      <c r="J21" t="s">
        <v>76</v>
      </c>
      <c r="K21" t="s">
        <v>1045</v>
      </c>
      <c r="L21">
        <v>6</v>
      </c>
      <c r="M21" t="s">
        <v>1046</v>
      </c>
    </row>
    <row r="22" spans="1:13" x14ac:dyDescent="0.25">
      <c r="A22" t="s">
        <v>1047</v>
      </c>
      <c r="B22" t="s">
        <v>1048</v>
      </c>
      <c r="C22" t="s">
        <v>829</v>
      </c>
      <c r="D22" t="s">
        <v>1049</v>
      </c>
      <c r="E22" s="5">
        <v>135000</v>
      </c>
      <c r="F22" s="11">
        <v>50</v>
      </c>
      <c r="G22" s="5">
        <f t="shared" si="1"/>
        <v>67500</v>
      </c>
      <c r="H22" t="s">
        <v>307</v>
      </c>
      <c r="I22" s="6">
        <v>45519</v>
      </c>
      <c r="J22" t="s">
        <v>76</v>
      </c>
      <c r="K22" t="s">
        <v>1050</v>
      </c>
      <c r="L22">
        <v>14</v>
      </c>
      <c r="M22" t="s">
        <v>1051</v>
      </c>
    </row>
    <row r="23" spans="1:13" x14ac:dyDescent="0.25">
      <c r="A23" t="s">
        <v>1052</v>
      </c>
      <c r="B23" t="s">
        <v>1053</v>
      </c>
      <c r="C23" t="s">
        <v>770</v>
      </c>
      <c r="D23" t="s">
        <v>1054</v>
      </c>
      <c r="E23" s="5">
        <v>47000</v>
      </c>
      <c r="F23" s="11">
        <v>85</v>
      </c>
      <c r="G23" s="5">
        <f t="shared" si="1"/>
        <v>39950</v>
      </c>
      <c r="H23" t="s">
        <v>327</v>
      </c>
      <c r="I23" s="6">
        <v>45453</v>
      </c>
      <c r="J23" t="s">
        <v>90</v>
      </c>
      <c r="K23" t="s">
        <v>1055</v>
      </c>
      <c r="L23">
        <v>3</v>
      </c>
      <c r="M23" t="s">
        <v>1056</v>
      </c>
    </row>
    <row r="24" spans="1:13" x14ac:dyDescent="0.25">
      <c r="A24" t="s">
        <v>1057</v>
      </c>
      <c r="B24" t="s">
        <v>1058</v>
      </c>
      <c r="C24" t="s">
        <v>821</v>
      </c>
      <c r="D24" t="s">
        <v>20</v>
      </c>
      <c r="E24" s="5">
        <v>82000</v>
      </c>
      <c r="F24" s="11">
        <v>60</v>
      </c>
      <c r="G24" s="5">
        <f t="shared" si="1"/>
        <v>49200</v>
      </c>
      <c r="H24" t="s">
        <v>307</v>
      </c>
      <c r="I24" s="6">
        <v>45503</v>
      </c>
      <c r="J24" t="s">
        <v>64</v>
      </c>
      <c r="K24" t="s">
        <v>1059</v>
      </c>
      <c r="L24">
        <v>11</v>
      </c>
      <c r="M24" t="s">
        <v>1060</v>
      </c>
    </row>
    <row r="25" spans="1:13" x14ac:dyDescent="0.25">
      <c r="A25" t="s">
        <v>1061</v>
      </c>
      <c r="B25" t="s">
        <v>1062</v>
      </c>
      <c r="C25" t="s">
        <v>1063</v>
      </c>
      <c r="D25" t="s">
        <v>1064</v>
      </c>
      <c r="E25" s="5">
        <v>98000</v>
      </c>
      <c r="F25" s="11">
        <v>40</v>
      </c>
      <c r="G25" s="5">
        <f t="shared" si="1"/>
        <v>39200</v>
      </c>
      <c r="H25" t="s">
        <v>320</v>
      </c>
      <c r="I25" s="6">
        <v>45550</v>
      </c>
      <c r="J25" t="s">
        <v>83</v>
      </c>
      <c r="K25" t="s">
        <v>1065</v>
      </c>
      <c r="L25">
        <v>25</v>
      </c>
      <c r="M25" t="s">
        <v>1066</v>
      </c>
    </row>
    <row r="26" spans="1:13" x14ac:dyDescent="0.25">
      <c r="A26" t="s">
        <v>1067</v>
      </c>
      <c r="B26" t="s">
        <v>1068</v>
      </c>
      <c r="C26" t="s">
        <v>1069</v>
      </c>
      <c r="D26" t="s">
        <v>356</v>
      </c>
      <c r="E26" s="5">
        <v>178000</v>
      </c>
      <c r="F26" s="11">
        <v>55</v>
      </c>
      <c r="G26" s="5">
        <f t="shared" si="1"/>
        <v>97900</v>
      </c>
      <c r="H26" t="s">
        <v>300</v>
      </c>
      <c r="I26" s="6">
        <v>45498</v>
      </c>
      <c r="J26" t="s">
        <v>90</v>
      </c>
      <c r="K26" t="s">
        <v>1070</v>
      </c>
      <c r="L26">
        <v>7</v>
      </c>
      <c r="M26" t="s">
        <v>1071</v>
      </c>
    </row>
    <row r="27" spans="1:13" x14ac:dyDescent="0.25">
      <c r="A27" t="s">
        <v>1072</v>
      </c>
      <c r="B27" t="s">
        <v>1073</v>
      </c>
      <c r="C27" t="s">
        <v>1001</v>
      </c>
      <c r="D27" t="s">
        <v>1074</v>
      </c>
      <c r="E27" s="5">
        <v>67000</v>
      </c>
      <c r="F27" s="11">
        <v>70</v>
      </c>
      <c r="G27" s="5">
        <f t="shared" si="1"/>
        <v>46900</v>
      </c>
      <c r="H27" t="s">
        <v>300</v>
      </c>
      <c r="I27" s="6">
        <v>45471</v>
      </c>
      <c r="J27" t="s">
        <v>76</v>
      </c>
      <c r="K27" t="s">
        <v>1075</v>
      </c>
      <c r="L27">
        <v>5</v>
      </c>
      <c r="M27" t="s">
        <v>1076</v>
      </c>
    </row>
    <row r="28" spans="1:13" x14ac:dyDescent="0.25">
      <c r="A28" t="s">
        <v>1077</v>
      </c>
      <c r="B28" t="s">
        <v>1078</v>
      </c>
      <c r="C28" t="s">
        <v>1079</v>
      </c>
      <c r="D28" t="s">
        <v>1023</v>
      </c>
      <c r="E28" s="5">
        <v>225000</v>
      </c>
      <c r="F28" s="11">
        <v>30</v>
      </c>
      <c r="G28" s="5">
        <f t="shared" si="1"/>
        <v>67500</v>
      </c>
      <c r="H28" t="s">
        <v>320</v>
      </c>
      <c r="I28" s="6">
        <v>45597</v>
      </c>
      <c r="J28" t="s">
        <v>64</v>
      </c>
      <c r="K28" t="s">
        <v>1080</v>
      </c>
      <c r="L28">
        <v>32</v>
      </c>
      <c r="M28" t="s">
        <v>1081</v>
      </c>
    </row>
    <row r="29" spans="1:13" x14ac:dyDescent="0.25">
      <c r="A29" t="s">
        <v>1082</v>
      </c>
      <c r="B29" t="s">
        <v>1083</v>
      </c>
      <c r="C29" t="s">
        <v>1084</v>
      </c>
      <c r="D29" t="s">
        <v>1017</v>
      </c>
      <c r="E29" s="5">
        <v>58000</v>
      </c>
      <c r="F29" s="11">
        <v>75</v>
      </c>
      <c r="G29" s="5">
        <f t="shared" si="1"/>
        <v>43500</v>
      </c>
      <c r="H29" t="s">
        <v>307</v>
      </c>
      <c r="I29" s="6">
        <v>45483</v>
      </c>
      <c r="J29" t="s">
        <v>90</v>
      </c>
      <c r="K29" t="s">
        <v>1085</v>
      </c>
      <c r="L29">
        <v>8</v>
      </c>
      <c r="M29" t="s">
        <v>1086</v>
      </c>
    </row>
    <row r="30" spans="1:13" x14ac:dyDescent="0.25">
      <c r="A30" t="s">
        <v>1087</v>
      </c>
      <c r="B30" t="s">
        <v>1088</v>
      </c>
      <c r="C30" t="s">
        <v>1089</v>
      </c>
      <c r="D30" t="s">
        <v>1090</v>
      </c>
      <c r="E30" s="5">
        <v>195000</v>
      </c>
      <c r="F30" s="11">
        <v>35</v>
      </c>
      <c r="G30" s="5">
        <f t="shared" si="1"/>
        <v>68250</v>
      </c>
      <c r="H30" t="s">
        <v>320</v>
      </c>
      <c r="I30" s="6">
        <v>45580</v>
      </c>
      <c r="J30" t="s">
        <v>83</v>
      </c>
      <c r="K30" t="s">
        <v>1091</v>
      </c>
      <c r="L30">
        <v>30</v>
      </c>
      <c r="M30" t="s">
        <v>1092</v>
      </c>
    </row>
    <row r="31" spans="1:13" x14ac:dyDescent="0.25">
      <c r="A31" t="s">
        <v>1093</v>
      </c>
      <c r="B31" t="s">
        <v>1094</v>
      </c>
      <c r="C31" t="s">
        <v>911</v>
      </c>
      <c r="D31" t="s">
        <v>1095</v>
      </c>
      <c r="E31" s="5">
        <v>42000</v>
      </c>
      <c r="F31" s="11">
        <v>80</v>
      </c>
      <c r="G31" s="5">
        <f t="shared" si="1"/>
        <v>33600</v>
      </c>
      <c r="H31" t="s">
        <v>327</v>
      </c>
      <c r="I31" s="6">
        <v>45455</v>
      </c>
      <c r="J31" t="s">
        <v>76</v>
      </c>
      <c r="K31" t="s">
        <v>1096</v>
      </c>
      <c r="L31">
        <v>2</v>
      </c>
      <c r="M31" t="s">
        <v>1097</v>
      </c>
    </row>
    <row r="32" spans="1:13" x14ac:dyDescent="0.25">
      <c r="A32" t="s">
        <v>1098</v>
      </c>
      <c r="B32" t="s">
        <v>1099</v>
      </c>
      <c r="C32" t="s">
        <v>1100</v>
      </c>
      <c r="D32" t="s">
        <v>1023</v>
      </c>
      <c r="E32" s="5">
        <v>165000</v>
      </c>
      <c r="F32" s="11">
        <v>65</v>
      </c>
      <c r="G32" s="5">
        <f t="shared" si="1"/>
        <v>107250</v>
      </c>
      <c r="H32" t="s">
        <v>300</v>
      </c>
      <c r="I32" s="6">
        <v>45493</v>
      </c>
      <c r="J32" t="s">
        <v>90</v>
      </c>
      <c r="K32" t="s">
        <v>1101</v>
      </c>
      <c r="L32">
        <v>9</v>
      </c>
      <c r="M32" t="s">
        <v>1102</v>
      </c>
    </row>
    <row r="33" spans="1:13" x14ac:dyDescent="0.25">
      <c r="A33" t="s">
        <v>1103</v>
      </c>
      <c r="B33" t="s">
        <v>1104</v>
      </c>
      <c r="C33" t="s">
        <v>941</v>
      </c>
      <c r="D33" t="s">
        <v>1105</v>
      </c>
      <c r="E33" s="5">
        <v>73000</v>
      </c>
      <c r="F33" s="11">
        <v>50</v>
      </c>
      <c r="G33" s="5">
        <f t="shared" si="1"/>
        <v>36500</v>
      </c>
      <c r="H33" t="s">
        <v>307</v>
      </c>
      <c r="I33" s="6">
        <v>45534</v>
      </c>
      <c r="J33" t="s">
        <v>64</v>
      </c>
      <c r="K33" t="s">
        <v>1106</v>
      </c>
      <c r="L33">
        <v>16</v>
      </c>
      <c r="M33" t="s">
        <v>1107</v>
      </c>
    </row>
    <row r="34" spans="1:13" x14ac:dyDescent="0.25">
      <c r="A34" t="s">
        <v>1108</v>
      </c>
      <c r="B34" t="s">
        <v>1109</v>
      </c>
      <c r="C34" t="s">
        <v>1110</v>
      </c>
      <c r="D34" t="s">
        <v>1054</v>
      </c>
      <c r="E34" s="5">
        <v>38000</v>
      </c>
      <c r="F34" s="11">
        <v>90</v>
      </c>
      <c r="G34" s="5">
        <f t="shared" si="1"/>
        <v>34200</v>
      </c>
      <c r="H34" t="s">
        <v>327</v>
      </c>
      <c r="I34" s="6">
        <v>45451</v>
      </c>
      <c r="J34" t="s">
        <v>90</v>
      </c>
      <c r="K34" t="s">
        <v>1111</v>
      </c>
      <c r="L34">
        <v>1</v>
      </c>
      <c r="M34" t="s">
        <v>1112</v>
      </c>
    </row>
    <row r="35" spans="1:13" x14ac:dyDescent="0.25">
      <c r="A35" t="s">
        <v>1113</v>
      </c>
      <c r="B35" t="s">
        <v>1114</v>
      </c>
      <c r="C35" t="s">
        <v>1115</v>
      </c>
      <c r="D35" t="s">
        <v>1116</v>
      </c>
      <c r="E35" s="5">
        <v>86000</v>
      </c>
      <c r="F35" s="11">
        <v>55</v>
      </c>
      <c r="G35" s="5">
        <f t="shared" si="1"/>
        <v>47300</v>
      </c>
      <c r="H35" t="s">
        <v>307</v>
      </c>
      <c r="I35" s="6">
        <v>45505</v>
      </c>
      <c r="J35" t="s">
        <v>83</v>
      </c>
      <c r="K35" t="s">
        <v>1117</v>
      </c>
      <c r="L35">
        <v>13</v>
      </c>
      <c r="M35" t="s">
        <v>1118</v>
      </c>
    </row>
    <row r="36" spans="1:13" x14ac:dyDescent="0.25">
      <c r="A36" t="s">
        <v>1119</v>
      </c>
      <c r="B36" t="s">
        <v>1120</v>
      </c>
      <c r="C36" t="s">
        <v>1121</v>
      </c>
      <c r="D36" t="s">
        <v>319</v>
      </c>
      <c r="E36" s="5">
        <v>142000</v>
      </c>
      <c r="F36" s="11">
        <v>45</v>
      </c>
      <c r="G36" s="5">
        <f t="shared" si="1"/>
        <v>63900</v>
      </c>
      <c r="H36" t="s">
        <v>320</v>
      </c>
      <c r="I36" s="6">
        <v>45555</v>
      </c>
      <c r="J36" t="s">
        <v>64</v>
      </c>
      <c r="K36" t="s">
        <v>1122</v>
      </c>
      <c r="L36">
        <v>20</v>
      </c>
      <c r="M36" t="s">
        <v>1123</v>
      </c>
    </row>
    <row r="37" spans="1:13" x14ac:dyDescent="0.25">
      <c r="A37" t="s">
        <v>1124</v>
      </c>
      <c r="B37" t="s">
        <v>1125</v>
      </c>
      <c r="C37" t="s">
        <v>1126</v>
      </c>
      <c r="D37" t="s">
        <v>1023</v>
      </c>
      <c r="E37" s="5">
        <v>94000</v>
      </c>
      <c r="F37" s="11">
        <v>60</v>
      </c>
      <c r="G37" s="5">
        <f t="shared" si="1"/>
        <v>56400</v>
      </c>
      <c r="H37" t="s">
        <v>307</v>
      </c>
      <c r="I37" s="6">
        <v>45498</v>
      </c>
      <c r="J37" t="s">
        <v>76</v>
      </c>
      <c r="K37" t="s">
        <v>1127</v>
      </c>
      <c r="L37">
        <v>11</v>
      </c>
      <c r="M37" t="s">
        <v>1128</v>
      </c>
    </row>
    <row r="38" spans="1:13" x14ac:dyDescent="0.25">
      <c r="A38" t="s">
        <v>1129</v>
      </c>
      <c r="B38" t="s">
        <v>1130</v>
      </c>
      <c r="C38" t="s">
        <v>1131</v>
      </c>
      <c r="D38" t="s">
        <v>1132</v>
      </c>
      <c r="E38" s="5">
        <v>52000</v>
      </c>
      <c r="F38" s="11">
        <v>70</v>
      </c>
      <c r="G38" s="5">
        <f t="shared" si="1"/>
        <v>36400</v>
      </c>
      <c r="H38" t="s">
        <v>300</v>
      </c>
      <c r="I38" s="6">
        <v>45473</v>
      </c>
      <c r="J38" t="s">
        <v>64</v>
      </c>
      <c r="K38" t="s">
        <v>1133</v>
      </c>
      <c r="L38">
        <v>6</v>
      </c>
      <c r="M38" t="s">
        <v>1134</v>
      </c>
    </row>
    <row r="39" spans="1:13" x14ac:dyDescent="0.25">
      <c r="A39" t="s">
        <v>1135</v>
      </c>
      <c r="B39" t="s">
        <v>1136</v>
      </c>
      <c r="C39" t="s">
        <v>1137</v>
      </c>
      <c r="D39" t="s">
        <v>1138</v>
      </c>
      <c r="E39" s="5">
        <v>68000</v>
      </c>
      <c r="F39" s="11">
        <v>65</v>
      </c>
      <c r="G39" s="5">
        <f t="shared" si="1"/>
        <v>44200</v>
      </c>
      <c r="H39" t="s">
        <v>307</v>
      </c>
      <c r="I39" s="6">
        <v>45488</v>
      </c>
      <c r="J39" t="s">
        <v>83</v>
      </c>
      <c r="K39" t="s">
        <v>1139</v>
      </c>
      <c r="L39">
        <v>10</v>
      </c>
      <c r="M39" t="s">
        <v>1140</v>
      </c>
    </row>
    <row r="40" spans="1:13" x14ac:dyDescent="0.25">
      <c r="A40" t="s">
        <v>1141</v>
      </c>
      <c r="B40" t="s">
        <v>1142</v>
      </c>
      <c r="C40" t="s">
        <v>990</v>
      </c>
      <c r="D40" t="s">
        <v>1143</v>
      </c>
      <c r="E40" s="5">
        <v>185000</v>
      </c>
      <c r="F40" s="11">
        <v>40</v>
      </c>
      <c r="G40" s="5">
        <f t="shared" si="1"/>
        <v>74000</v>
      </c>
      <c r="H40" t="s">
        <v>320</v>
      </c>
      <c r="I40" s="6">
        <v>45566</v>
      </c>
      <c r="J40" t="s">
        <v>90</v>
      </c>
      <c r="K40" t="s">
        <v>1144</v>
      </c>
      <c r="L40">
        <v>24</v>
      </c>
      <c r="M40" t="s">
        <v>1145</v>
      </c>
    </row>
    <row r="41" spans="1:13" x14ac:dyDescent="0.25">
      <c r="A41" t="s">
        <v>1146</v>
      </c>
      <c r="B41" t="s">
        <v>1147</v>
      </c>
      <c r="C41" t="s">
        <v>1001</v>
      </c>
      <c r="D41" t="s">
        <v>1023</v>
      </c>
      <c r="E41" s="5">
        <v>128000</v>
      </c>
      <c r="F41" s="11">
        <v>55</v>
      </c>
      <c r="G41" s="5">
        <f t="shared" si="1"/>
        <v>70400</v>
      </c>
      <c r="H41" t="s">
        <v>307</v>
      </c>
      <c r="I41" s="6">
        <v>45519</v>
      </c>
      <c r="J41" t="s">
        <v>76</v>
      </c>
      <c r="K41" t="s">
        <v>1148</v>
      </c>
      <c r="L41">
        <v>15</v>
      </c>
      <c r="M41" t="s">
        <v>1149</v>
      </c>
    </row>
    <row r="42" spans="1:13" x14ac:dyDescent="0.25">
      <c r="A42" t="s">
        <v>1150</v>
      </c>
      <c r="B42" t="s">
        <v>1151</v>
      </c>
      <c r="C42" t="s">
        <v>1152</v>
      </c>
      <c r="D42" t="s">
        <v>1153</v>
      </c>
      <c r="E42" s="5">
        <v>56000</v>
      </c>
      <c r="F42" s="11">
        <v>75</v>
      </c>
      <c r="G42" s="5">
        <f t="shared" si="1"/>
        <v>42000</v>
      </c>
      <c r="H42" t="s">
        <v>300</v>
      </c>
      <c r="I42" s="6">
        <v>45471</v>
      </c>
      <c r="J42" t="s">
        <v>64</v>
      </c>
      <c r="K42" t="s">
        <v>1154</v>
      </c>
      <c r="L42">
        <v>5</v>
      </c>
      <c r="M42" t="s">
        <v>1155</v>
      </c>
    </row>
    <row r="43" spans="1:13" x14ac:dyDescent="0.25">
      <c r="A43" t="s">
        <v>1156</v>
      </c>
      <c r="B43" t="s">
        <v>1157</v>
      </c>
      <c r="C43" t="s">
        <v>1158</v>
      </c>
      <c r="D43" t="s">
        <v>1029</v>
      </c>
      <c r="E43" s="5">
        <v>89000</v>
      </c>
      <c r="F43" s="11">
        <v>60</v>
      </c>
      <c r="G43" s="5">
        <f t="shared" si="1"/>
        <v>53400</v>
      </c>
      <c r="H43" t="s">
        <v>307</v>
      </c>
      <c r="I43" s="6">
        <v>45503</v>
      </c>
      <c r="J43" t="s">
        <v>90</v>
      </c>
      <c r="K43" t="s">
        <v>1159</v>
      </c>
      <c r="L43">
        <v>12</v>
      </c>
      <c r="M43" t="s">
        <v>1160</v>
      </c>
    </row>
    <row r="44" spans="1:13" x14ac:dyDescent="0.25">
      <c r="A44" t="s">
        <v>1161</v>
      </c>
      <c r="B44" t="s">
        <v>1162</v>
      </c>
      <c r="C44" t="s">
        <v>1079</v>
      </c>
      <c r="D44" t="s">
        <v>1023</v>
      </c>
      <c r="E44" s="5">
        <v>156000</v>
      </c>
      <c r="F44" s="11">
        <v>45</v>
      </c>
      <c r="G44" s="5">
        <f t="shared" si="1"/>
        <v>70200</v>
      </c>
      <c r="H44" t="s">
        <v>320</v>
      </c>
      <c r="I44" s="6">
        <v>45550</v>
      </c>
      <c r="J44" t="s">
        <v>83</v>
      </c>
      <c r="K44" t="s">
        <v>1163</v>
      </c>
      <c r="L44">
        <v>21</v>
      </c>
      <c r="M44" t="s">
        <v>1164</v>
      </c>
    </row>
    <row r="45" spans="1:13" x14ac:dyDescent="0.25">
      <c r="A45" t="s">
        <v>1165</v>
      </c>
      <c r="B45" t="s">
        <v>1166</v>
      </c>
      <c r="C45" t="s">
        <v>1167</v>
      </c>
      <c r="D45" t="s">
        <v>20</v>
      </c>
      <c r="E45" s="5">
        <v>74000</v>
      </c>
      <c r="F45" s="11">
        <v>70</v>
      </c>
      <c r="G45" s="5">
        <f t="shared" si="1"/>
        <v>51800</v>
      </c>
      <c r="H45" t="s">
        <v>300</v>
      </c>
      <c r="I45" s="6">
        <v>45474</v>
      </c>
      <c r="J45" t="s">
        <v>76</v>
      </c>
      <c r="K45" t="s">
        <v>1168</v>
      </c>
      <c r="L45">
        <v>7</v>
      </c>
      <c r="M45" t="s">
        <v>1169</v>
      </c>
    </row>
    <row r="46" spans="1:13" x14ac:dyDescent="0.25">
      <c r="A46" t="s">
        <v>1170</v>
      </c>
      <c r="B46" t="s">
        <v>1171</v>
      </c>
      <c r="C46" t="s">
        <v>1084</v>
      </c>
      <c r="D46" t="s">
        <v>1090</v>
      </c>
      <c r="E46" s="5">
        <v>112000</v>
      </c>
      <c r="F46" s="11">
        <v>50</v>
      </c>
      <c r="G46" s="5">
        <f t="shared" si="1"/>
        <v>56000</v>
      </c>
      <c r="H46" t="s">
        <v>307</v>
      </c>
      <c r="I46" s="6">
        <v>45524</v>
      </c>
      <c r="J46" t="s">
        <v>90</v>
      </c>
      <c r="K46" t="s">
        <v>1172</v>
      </c>
      <c r="L46">
        <v>14</v>
      </c>
      <c r="M46" t="s">
        <v>1173</v>
      </c>
    </row>
    <row r="47" spans="1:13" x14ac:dyDescent="0.25">
      <c r="A47" t="s">
        <v>1174</v>
      </c>
      <c r="B47" t="s">
        <v>1175</v>
      </c>
      <c r="C47" t="s">
        <v>1176</v>
      </c>
      <c r="D47" t="s">
        <v>319</v>
      </c>
      <c r="E47" s="5">
        <v>198000</v>
      </c>
      <c r="F47" s="11">
        <v>35</v>
      </c>
      <c r="G47" s="5">
        <f t="shared" ref="G47:G71" si="2">E47*F47/100</f>
        <v>69300</v>
      </c>
      <c r="H47" t="s">
        <v>320</v>
      </c>
      <c r="I47" s="6">
        <v>45611</v>
      </c>
      <c r="J47" t="s">
        <v>64</v>
      </c>
      <c r="K47" t="s">
        <v>1177</v>
      </c>
      <c r="L47">
        <v>35</v>
      </c>
      <c r="M47" t="s">
        <v>1178</v>
      </c>
    </row>
    <row r="48" spans="1:13" x14ac:dyDescent="0.25">
      <c r="A48" t="s">
        <v>1179</v>
      </c>
      <c r="B48" t="s">
        <v>1180</v>
      </c>
      <c r="C48" t="s">
        <v>1181</v>
      </c>
      <c r="D48" t="s">
        <v>1182</v>
      </c>
      <c r="E48" s="5">
        <v>48000</v>
      </c>
      <c r="F48" s="11">
        <v>80</v>
      </c>
      <c r="G48" s="5">
        <f t="shared" si="2"/>
        <v>38400</v>
      </c>
      <c r="H48" t="s">
        <v>327</v>
      </c>
      <c r="I48" s="6">
        <v>45457</v>
      </c>
      <c r="J48" t="s">
        <v>83</v>
      </c>
      <c r="K48" t="s">
        <v>1183</v>
      </c>
      <c r="L48">
        <v>3</v>
      </c>
      <c r="M48" t="s">
        <v>1184</v>
      </c>
    </row>
    <row r="49" spans="1:13" x14ac:dyDescent="0.25">
      <c r="A49" t="s">
        <v>1185</v>
      </c>
      <c r="B49" t="s">
        <v>1186</v>
      </c>
      <c r="C49" t="s">
        <v>982</v>
      </c>
      <c r="D49" t="s">
        <v>1054</v>
      </c>
      <c r="E49" s="5">
        <v>34000</v>
      </c>
      <c r="F49" s="11">
        <v>85</v>
      </c>
      <c r="G49" s="5">
        <f t="shared" si="2"/>
        <v>28900</v>
      </c>
      <c r="H49" t="s">
        <v>327</v>
      </c>
      <c r="I49" s="6">
        <v>45453</v>
      </c>
      <c r="J49" t="s">
        <v>90</v>
      </c>
      <c r="K49" t="s">
        <v>1187</v>
      </c>
      <c r="L49">
        <v>2</v>
      </c>
      <c r="M49" t="s">
        <v>1188</v>
      </c>
    </row>
    <row r="50" spans="1:13" x14ac:dyDescent="0.25">
      <c r="A50" t="s">
        <v>1189</v>
      </c>
      <c r="B50" t="s">
        <v>1190</v>
      </c>
      <c r="C50" t="s">
        <v>1121</v>
      </c>
      <c r="D50" t="s">
        <v>1023</v>
      </c>
      <c r="E50" s="5">
        <v>87000</v>
      </c>
      <c r="F50" s="11">
        <v>55</v>
      </c>
      <c r="G50" s="5">
        <f t="shared" si="2"/>
        <v>47850</v>
      </c>
      <c r="H50" t="s">
        <v>307</v>
      </c>
      <c r="I50" s="6">
        <v>45505</v>
      </c>
      <c r="J50" t="s">
        <v>76</v>
      </c>
      <c r="K50" t="s">
        <v>1191</v>
      </c>
      <c r="L50">
        <v>13</v>
      </c>
      <c r="M50" t="s">
        <v>1192</v>
      </c>
    </row>
    <row r="51" spans="1:13" x14ac:dyDescent="0.25">
      <c r="A51" t="s">
        <v>1193</v>
      </c>
      <c r="B51" t="s">
        <v>1194</v>
      </c>
      <c r="C51" t="s">
        <v>1195</v>
      </c>
      <c r="D51" t="s">
        <v>350</v>
      </c>
      <c r="E51" s="5">
        <v>29000</v>
      </c>
      <c r="F51" s="11">
        <v>70</v>
      </c>
      <c r="G51" s="5">
        <f t="shared" si="2"/>
        <v>20300</v>
      </c>
      <c r="H51" t="s">
        <v>300</v>
      </c>
      <c r="I51" s="6">
        <v>45468</v>
      </c>
      <c r="J51" t="s">
        <v>64</v>
      </c>
      <c r="K51" t="s">
        <v>1196</v>
      </c>
      <c r="L51">
        <v>6</v>
      </c>
      <c r="M51" t="s">
        <v>1197</v>
      </c>
    </row>
    <row r="52" spans="1:13" x14ac:dyDescent="0.25">
      <c r="A52" t="s">
        <v>1198</v>
      </c>
      <c r="B52" t="s">
        <v>1199</v>
      </c>
      <c r="C52" t="s">
        <v>1200</v>
      </c>
      <c r="D52" t="s">
        <v>368</v>
      </c>
      <c r="E52" s="5">
        <v>145000</v>
      </c>
      <c r="F52" s="11">
        <v>60</v>
      </c>
      <c r="G52" s="5">
        <f t="shared" si="2"/>
        <v>87000</v>
      </c>
      <c r="H52" t="s">
        <v>307</v>
      </c>
      <c r="I52" s="6">
        <v>45498</v>
      </c>
      <c r="J52" t="s">
        <v>90</v>
      </c>
      <c r="K52" t="s">
        <v>1201</v>
      </c>
      <c r="L52">
        <v>11</v>
      </c>
      <c r="M52" t="s">
        <v>1202</v>
      </c>
    </row>
    <row r="53" spans="1:13" x14ac:dyDescent="0.25">
      <c r="A53" t="s">
        <v>1203</v>
      </c>
      <c r="B53" t="s">
        <v>1204</v>
      </c>
      <c r="C53" t="s">
        <v>944</v>
      </c>
      <c r="D53" t="s">
        <v>356</v>
      </c>
      <c r="E53" s="5">
        <v>168000</v>
      </c>
      <c r="F53" s="11">
        <v>45</v>
      </c>
      <c r="G53" s="5">
        <f t="shared" si="2"/>
        <v>75600</v>
      </c>
      <c r="H53" t="s">
        <v>320</v>
      </c>
      <c r="I53" s="6">
        <v>45566</v>
      </c>
      <c r="J53" t="s">
        <v>90</v>
      </c>
      <c r="K53" t="s">
        <v>1205</v>
      </c>
      <c r="L53">
        <v>23</v>
      </c>
      <c r="M53" t="s">
        <v>1206</v>
      </c>
    </row>
    <row r="54" spans="1:13" x14ac:dyDescent="0.25">
      <c r="A54" t="s">
        <v>1207</v>
      </c>
      <c r="B54" t="s">
        <v>1208</v>
      </c>
      <c r="C54" t="s">
        <v>1121</v>
      </c>
      <c r="D54" t="s">
        <v>31</v>
      </c>
      <c r="E54" s="5">
        <v>92000</v>
      </c>
      <c r="F54" s="11">
        <v>65</v>
      </c>
      <c r="G54" s="5">
        <f t="shared" si="2"/>
        <v>59800</v>
      </c>
      <c r="H54" t="s">
        <v>300</v>
      </c>
      <c r="I54" s="6">
        <v>45488</v>
      </c>
      <c r="J54" t="s">
        <v>64</v>
      </c>
      <c r="K54" t="s">
        <v>1209</v>
      </c>
      <c r="L54">
        <v>8</v>
      </c>
      <c r="M54" t="s">
        <v>1210</v>
      </c>
    </row>
    <row r="55" spans="1:13" x14ac:dyDescent="0.25">
      <c r="A55" t="s">
        <v>1211</v>
      </c>
      <c r="B55" t="s">
        <v>1212</v>
      </c>
      <c r="C55" t="s">
        <v>1213</v>
      </c>
      <c r="D55" t="s">
        <v>1116</v>
      </c>
      <c r="E55" s="5">
        <v>134000</v>
      </c>
      <c r="F55" s="11">
        <v>40</v>
      </c>
      <c r="G55" s="5">
        <f t="shared" si="2"/>
        <v>53600</v>
      </c>
      <c r="H55" t="s">
        <v>320</v>
      </c>
      <c r="I55" s="6">
        <v>45565</v>
      </c>
      <c r="J55" t="s">
        <v>83</v>
      </c>
      <c r="K55" t="s">
        <v>1214</v>
      </c>
      <c r="L55">
        <v>27</v>
      </c>
      <c r="M55" t="s">
        <v>1215</v>
      </c>
    </row>
    <row r="56" spans="1:13" x14ac:dyDescent="0.25">
      <c r="A56" t="s">
        <v>1216</v>
      </c>
      <c r="B56" t="s">
        <v>1217</v>
      </c>
      <c r="C56" t="s">
        <v>1218</v>
      </c>
      <c r="D56" t="s">
        <v>1064</v>
      </c>
      <c r="E56" s="5">
        <v>43000</v>
      </c>
      <c r="F56" s="11">
        <v>75</v>
      </c>
      <c r="G56" s="5">
        <f t="shared" si="2"/>
        <v>32250</v>
      </c>
      <c r="H56" t="s">
        <v>300</v>
      </c>
      <c r="I56" s="6">
        <v>45473</v>
      </c>
      <c r="J56" t="s">
        <v>76</v>
      </c>
      <c r="K56" t="s">
        <v>1219</v>
      </c>
      <c r="L56">
        <v>5</v>
      </c>
      <c r="M56" t="s">
        <v>1220</v>
      </c>
    </row>
    <row r="57" spans="1:13" x14ac:dyDescent="0.25">
      <c r="A57" t="s">
        <v>1221</v>
      </c>
      <c r="B57" t="s">
        <v>1222</v>
      </c>
      <c r="C57" t="s">
        <v>1223</v>
      </c>
      <c r="D57" t="s">
        <v>1224</v>
      </c>
      <c r="E57" s="5">
        <v>38000</v>
      </c>
      <c r="F57" s="11">
        <v>80</v>
      </c>
      <c r="G57" s="5">
        <f t="shared" si="2"/>
        <v>30400</v>
      </c>
      <c r="H57" t="s">
        <v>327</v>
      </c>
      <c r="I57" s="6">
        <v>45455</v>
      </c>
      <c r="J57" t="s">
        <v>83</v>
      </c>
      <c r="K57" t="s">
        <v>1225</v>
      </c>
      <c r="L57">
        <v>3</v>
      </c>
      <c r="M57" t="s">
        <v>1226</v>
      </c>
    </row>
    <row r="58" spans="1:13" x14ac:dyDescent="0.25">
      <c r="A58" t="s">
        <v>1227</v>
      </c>
      <c r="B58" t="s">
        <v>1228</v>
      </c>
      <c r="C58" t="s">
        <v>1229</v>
      </c>
      <c r="D58" t="s">
        <v>1023</v>
      </c>
      <c r="E58" s="5">
        <v>108000</v>
      </c>
      <c r="F58" s="11">
        <v>55</v>
      </c>
      <c r="G58" s="5">
        <f t="shared" si="2"/>
        <v>59400</v>
      </c>
      <c r="H58" t="s">
        <v>307</v>
      </c>
      <c r="I58" s="6">
        <v>45519</v>
      </c>
      <c r="J58" t="s">
        <v>76</v>
      </c>
      <c r="K58" t="s">
        <v>1230</v>
      </c>
      <c r="L58">
        <v>14</v>
      </c>
      <c r="M58" t="s">
        <v>1231</v>
      </c>
    </row>
    <row r="59" spans="1:13" x14ac:dyDescent="0.25">
      <c r="A59" t="s">
        <v>1232</v>
      </c>
      <c r="B59" t="s">
        <v>1233</v>
      </c>
      <c r="C59" t="s">
        <v>1234</v>
      </c>
      <c r="D59" t="s">
        <v>1235</v>
      </c>
      <c r="E59" s="5">
        <v>67000</v>
      </c>
      <c r="F59" s="11">
        <v>70</v>
      </c>
      <c r="G59" s="5">
        <f t="shared" si="2"/>
        <v>46900</v>
      </c>
      <c r="H59" t="s">
        <v>300</v>
      </c>
      <c r="I59" s="6">
        <v>45483</v>
      </c>
      <c r="J59" t="s">
        <v>90</v>
      </c>
      <c r="K59" t="s">
        <v>1236</v>
      </c>
      <c r="L59">
        <v>7</v>
      </c>
      <c r="M59" t="s">
        <v>1237</v>
      </c>
    </row>
    <row r="60" spans="1:13" x14ac:dyDescent="0.25">
      <c r="A60" t="s">
        <v>1238</v>
      </c>
      <c r="B60" t="s">
        <v>1239</v>
      </c>
      <c r="C60" t="s">
        <v>1195</v>
      </c>
      <c r="D60" t="s">
        <v>1064</v>
      </c>
      <c r="E60" s="5">
        <v>52000</v>
      </c>
      <c r="F60" s="11">
        <v>65</v>
      </c>
      <c r="G60" s="5">
        <f t="shared" si="2"/>
        <v>33800</v>
      </c>
      <c r="H60" t="s">
        <v>307</v>
      </c>
      <c r="I60" s="6">
        <v>45493</v>
      </c>
      <c r="J60" t="s">
        <v>83</v>
      </c>
      <c r="K60" t="s">
        <v>1240</v>
      </c>
      <c r="L60">
        <v>10</v>
      </c>
      <c r="M60" t="s">
        <v>1241</v>
      </c>
    </row>
    <row r="61" spans="1:13" x14ac:dyDescent="0.25">
      <c r="A61" t="s">
        <v>1242</v>
      </c>
      <c r="B61" t="s">
        <v>1243</v>
      </c>
      <c r="C61" t="s">
        <v>1244</v>
      </c>
      <c r="D61" t="s">
        <v>319</v>
      </c>
      <c r="E61" s="5">
        <v>78000</v>
      </c>
      <c r="F61" s="11">
        <v>60</v>
      </c>
      <c r="G61" s="5">
        <f t="shared" si="2"/>
        <v>46800</v>
      </c>
      <c r="H61" t="s">
        <v>307</v>
      </c>
      <c r="I61" s="6">
        <v>45505</v>
      </c>
      <c r="J61" t="s">
        <v>64</v>
      </c>
      <c r="K61" t="s">
        <v>1245</v>
      </c>
      <c r="L61">
        <v>12</v>
      </c>
      <c r="M61" t="s">
        <v>1246</v>
      </c>
    </row>
    <row r="62" spans="1:13" x14ac:dyDescent="0.25">
      <c r="A62" t="s">
        <v>1247</v>
      </c>
      <c r="B62" t="s">
        <v>1248</v>
      </c>
      <c r="C62" t="s">
        <v>1249</v>
      </c>
      <c r="D62" t="s">
        <v>1029</v>
      </c>
      <c r="E62" s="5">
        <v>45000</v>
      </c>
      <c r="F62" s="11">
        <v>85</v>
      </c>
      <c r="G62" s="5">
        <f t="shared" si="2"/>
        <v>38250</v>
      </c>
      <c r="H62" t="s">
        <v>327</v>
      </c>
      <c r="I62" s="6">
        <v>45451</v>
      </c>
      <c r="J62" t="s">
        <v>90</v>
      </c>
      <c r="K62" t="s">
        <v>1250</v>
      </c>
      <c r="L62">
        <v>2</v>
      </c>
      <c r="M62" t="s">
        <v>1251</v>
      </c>
    </row>
    <row r="63" spans="1:13" x14ac:dyDescent="0.25">
      <c r="A63" t="s">
        <v>1252</v>
      </c>
      <c r="B63" t="s">
        <v>1253</v>
      </c>
      <c r="C63" t="s">
        <v>1110</v>
      </c>
      <c r="D63" t="s">
        <v>1254</v>
      </c>
      <c r="E63" s="5">
        <v>56000</v>
      </c>
      <c r="F63" s="11">
        <v>75</v>
      </c>
      <c r="G63" s="5">
        <f t="shared" si="2"/>
        <v>42000</v>
      </c>
      <c r="H63" t="s">
        <v>300</v>
      </c>
      <c r="I63" s="6">
        <v>45463</v>
      </c>
      <c r="J63" t="s">
        <v>76</v>
      </c>
      <c r="K63" t="s">
        <v>1255</v>
      </c>
      <c r="L63">
        <v>4</v>
      </c>
      <c r="M63" t="s">
        <v>1256</v>
      </c>
    </row>
    <row r="64" spans="1:13" x14ac:dyDescent="0.25">
      <c r="A64" t="s">
        <v>1257</v>
      </c>
      <c r="B64" t="s">
        <v>1258</v>
      </c>
      <c r="C64" t="s">
        <v>1259</v>
      </c>
      <c r="D64" t="s">
        <v>1260</v>
      </c>
      <c r="E64" s="5">
        <v>62000</v>
      </c>
      <c r="F64" s="11">
        <v>55</v>
      </c>
      <c r="G64" s="5">
        <f t="shared" si="2"/>
        <v>34100</v>
      </c>
      <c r="H64" t="s">
        <v>307</v>
      </c>
      <c r="I64" s="6">
        <v>45514</v>
      </c>
      <c r="J64" t="s">
        <v>83</v>
      </c>
      <c r="K64" t="s">
        <v>1144</v>
      </c>
      <c r="L64">
        <v>13</v>
      </c>
      <c r="M64" t="s">
        <v>1261</v>
      </c>
    </row>
    <row r="65" spans="1:13" x14ac:dyDescent="0.25">
      <c r="A65" t="s">
        <v>1262</v>
      </c>
      <c r="B65" t="s">
        <v>1263</v>
      </c>
      <c r="C65" t="s">
        <v>770</v>
      </c>
      <c r="D65" t="s">
        <v>1023</v>
      </c>
      <c r="E65" s="5">
        <v>225000</v>
      </c>
      <c r="F65" s="11">
        <v>50</v>
      </c>
      <c r="G65" s="5">
        <f t="shared" si="2"/>
        <v>112500</v>
      </c>
      <c r="H65" t="s">
        <v>300</v>
      </c>
      <c r="I65" s="6">
        <v>45503</v>
      </c>
      <c r="J65" t="s">
        <v>90</v>
      </c>
      <c r="K65" t="s">
        <v>1264</v>
      </c>
      <c r="L65">
        <v>9</v>
      </c>
      <c r="M65" t="s">
        <v>1265</v>
      </c>
    </row>
    <row r="66" spans="1:13" x14ac:dyDescent="0.25">
      <c r="A66" t="s">
        <v>1266</v>
      </c>
      <c r="B66" t="s">
        <v>1267</v>
      </c>
      <c r="C66" t="s">
        <v>837</v>
      </c>
      <c r="D66" t="s">
        <v>350</v>
      </c>
      <c r="E66" s="5">
        <v>97000</v>
      </c>
      <c r="F66" s="11">
        <v>45</v>
      </c>
      <c r="G66" s="5">
        <f t="shared" si="2"/>
        <v>43650</v>
      </c>
      <c r="H66" t="s">
        <v>320</v>
      </c>
      <c r="I66" s="6">
        <v>45550</v>
      </c>
      <c r="J66" t="s">
        <v>83</v>
      </c>
      <c r="K66" t="s">
        <v>1268</v>
      </c>
      <c r="L66">
        <v>20</v>
      </c>
      <c r="M66" t="s">
        <v>1269</v>
      </c>
    </row>
    <row r="67" spans="1:13" x14ac:dyDescent="0.25">
      <c r="A67" t="s">
        <v>1270</v>
      </c>
      <c r="B67" t="s">
        <v>1271</v>
      </c>
      <c r="C67" t="s">
        <v>1137</v>
      </c>
      <c r="D67" t="s">
        <v>20</v>
      </c>
      <c r="E67" s="5">
        <v>83000</v>
      </c>
      <c r="F67" s="11">
        <v>65</v>
      </c>
      <c r="G67" s="5">
        <f t="shared" si="2"/>
        <v>53950</v>
      </c>
      <c r="H67" t="s">
        <v>307</v>
      </c>
      <c r="I67" s="6">
        <v>45498</v>
      </c>
      <c r="J67" t="s">
        <v>76</v>
      </c>
      <c r="K67" t="s">
        <v>1272</v>
      </c>
      <c r="L67">
        <v>11</v>
      </c>
      <c r="M67" t="s">
        <v>1183</v>
      </c>
    </row>
    <row r="68" spans="1:13" x14ac:dyDescent="0.25">
      <c r="A68" t="s">
        <v>1273</v>
      </c>
      <c r="B68" t="s">
        <v>1274</v>
      </c>
      <c r="C68" t="s">
        <v>1275</v>
      </c>
      <c r="D68" t="s">
        <v>356</v>
      </c>
      <c r="E68" s="5">
        <v>175000</v>
      </c>
      <c r="F68" s="11">
        <v>35</v>
      </c>
      <c r="G68" s="5">
        <f t="shared" si="2"/>
        <v>61250</v>
      </c>
      <c r="H68" t="s">
        <v>320</v>
      </c>
      <c r="I68" s="6">
        <v>45597</v>
      </c>
      <c r="J68" t="s">
        <v>64</v>
      </c>
      <c r="K68" t="s">
        <v>1091</v>
      </c>
      <c r="L68">
        <v>30</v>
      </c>
      <c r="M68" t="s">
        <v>1276</v>
      </c>
    </row>
    <row r="69" spans="1:13" x14ac:dyDescent="0.25">
      <c r="A69" t="s">
        <v>1277</v>
      </c>
      <c r="B69" t="s">
        <v>1278</v>
      </c>
      <c r="C69" t="s">
        <v>1084</v>
      </c>
      <c r="D69" t="s">
        <v>1023</v>
      </c>
      <c r="E69" s="5">
        <v>68000</v>
      </c>
      <c r="F69" s="11">
        <v>70</v>
      </c>
      <c r="G69" s="5">
        <f t="shared" si="2"/>
        <v>47600</v>
      </c>
      <c r="H69" t="s">
        <v>300</v>
      </c>
      <c r="I69" s="6">
        <v>45471</v>
      </c>
      <c r="J69" t="s">
        <v>76</v>
      </c>
      <c r="K69" t="s">
        <v>1279</v>
      </c>
      <c r="L69">
        <v>6</v>
      </c>
      <c r="M69" t="s">
        <v>1280</v>
      </c>
    </row>
    <row r="70" spans="1:13" x14ac:dyDescent="0.25">
      <c r="A70" t="s">
        <v>1281</v>
      </c>
      <c r="B70" t="s">
        <v>1282</v>
      </c>
      <c r="C70" t="s">
        <v>1181</v>
      </c>
      <c r="D70" t="s">
        <v>1283</v>
      </c>
      <c r="E70" s="5">
        <v>32000</v>
      </c>
      <c r="F70" s="11">
        <v>80</v>
      </c>
      <c r="G70" s="5">
        <f t="shared" si="2"/>
        <v>25600</v>
      </c>
      <c r="H70" t="s">
        <v>327</v>
      </c>
      <c r="I70" s="6">
        <v>45453</v>
      </c>
      <c r="J70" t="s">
        <v>83</v>
      </c>
      <c r="K70" t="s">
        <v>1284</v>
      </c>
      <c r="L70">
        <v>3</v>
      </c>
      <c r="M70" t="s">
        <v>1285</v>
      </c>
    </row>
    <row r="71" spans="1:13" x14ac:dyDescent="0.25">
      <c r="A71" t="s">
        <v>1286</v>
      </c>
      <c r="B71" t="s">
        <v>1287</v>
      </c>
      <c r="C71" t="s">
        <v>1033</v>
      </c>
      <c r="D71" t="s">
        <v>319</v>
      </c>
      <c r="E71" s="5">
        <v>94000</v>
      </c>
      <c r="F71" s="11">
        <v>60</v>
      </c>
      <c r="G71" s="5">
        <f t="shared" si="2"/>
        <v>56400</v>
      </c>
      <c r="H71" t="s">
        <v>307</v>
      </c>
      <c r="I71" s="6">
        <v>45524</v>
      </c>
      <c r="J71" t="s">
        <v>64</v>
      </c>
      <c r="K71" t="s">
        <v>1288</v>
      </c>
      <c r="L71">
        <v>15</v>
      </c>
      <c r="M71" t="s">
        <v>1289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EF4F-9579-4999-8FB5-99419FCC35EB}">
  <dimension ref="A1:L21"/>
  <sheetViews>
    <sheetView workbookViewId="0">
      <selection activeCell="F27" sqref="F27"/>
    </sheetView>
  </sheetViews>
  <sheetFormatPr defaultRowHeight="15" x14ac:dyDescent="0.25"/>
  <cols>
    <col min="1" max="1" width="12.5703125" customWidth="1"/>
    <col min="2" max="2" width="23.7109375" bestFit="1" customWidth="1"/>
    <col min="3" max="3" width="12.85546875" bestFit="1" customWidth="1"/>
    <col min="4" max="4" width="15.5703125" customWidth="1"/>
    <col min="5" max="5" width="15.7109375" customWidth="1"/>
    <col min="6" max="6" width="14" customWidth="1"/>
    <col min="7" max="7" width="8.85546875" customWidth="1"/>
    <col min="8" max="8" width="13.42578125" customWidth="1"/>
    <col min="9" max="9" width="19.28515625" customWidth="1"/>
    <col min="10" max="10" width="14.42578125" customWidth="1"/>
    <col min="11" max="11" width="20" customWidth="1"/>
    <col min="12" max="12" width="14.140625" customWidth="1"/>
  </cols>
  <sheetData>
    <row r="1" spans="1:12" x14ac:dyDescent="0.25">
      <c r="A1" s="14" t="s">
        <v>0</v>
      </c>
      <c r="B1" s="14" t="s">
        <v>1</v>
      </c>
      <c r="C1" s="14" t="s">
        <v>2</v>
      </c>
      <c r="D1" s="14" t="s">
        <v>371</v>
      </c>
      <c r="E1" s="14" t="s">
        <v>372</v>
      </c>
      <c r="F1" s="14" t="s">
        <v>373</v>
      </c>
      <c r="G1" s="14" t="s">
        <v>7</v>
      </c>
      <c r="H1" s="14" t="s">
        <v>374</v>
      </c>
      <c r="I1" s="14" t="s">
        <v>375</v>
      </c>
      <c r="J1" s="14" t="s">
        <v>376</v>
      </c>
      <c r="K1" s="14" t="s">
        <v>377</v>
      </c>
      <c r="L1" s="14" t="s">
        <v>378</v>
      </c>
    </row>
    <row r="2" spans="1:12" x14ac:dyDescent="0.25">
      <c r="A2" t="s">
        <v>8</v>
      </c>
      <c r="B2" t="s">
        <v>379</v>
      </c>
      <c r="C2" t="s">
        <v>10</v>
      </c>
      <c r="D2">
        <v>15000</v>
      </c>
      <c r="E2">
        <v>5000</v>
      </c>
      <c r="F2">
        <v>10000</v>
      </c>
      <c r="G2" t="str">
        <f t="shared" ref="G2:G21" si="0">IF(D2&lt;=E2,"⚠ REORDER",IF(D2&lt;=E2*1.5,"⚡ LOW","✓ OK"))</f>
        <v>✓ OK</v>
      </c>
      <c r="H2" t="s">
        <v>380</v>
      </c>
      <c r="I2" s="6">
        <v>45427</v>
      </c>
      <c r="J2" s="3">
        <v>0.45</v>
      </c>
      <c r="K2" s="3">
        <f t="shared" ref="K2:K21" si="1">D2*J2</f>
        <v>6750</v>
      </c>
      <c r="L2">
        <f t="shared" ref="L2:L21" si="2">ROUND(D2/100,0)</f>
        <v>150</v>
      </c>
    </row>
    <row r="3" spans="1:12" x14ac:dyDescent="0.25">
      <c r="A3" t="s">
        <v>12</v>
      </c>
      <c r="B3" t="s">
        <v>381</v>
      </c>
      <c r="C3" t="s">
        <v>10</v>
      </c>
      <c r="D3">
        <v>8500</v>
      </c>
      <c r="E3">
        <v>3000</v>
      </c>
      <c r="F3">
        <v>6000</v>
      </c>
      <c r="G3" t="str">
        <f t="shared" si="0"/>
        <v>✓ OK</v>
      </c>
      <c r="H3" t="s">
        <v>380</v>
      </c>
      <c r="I3" s="6">
        <v>45422</v>
      </c>
      <c r="J3" s="3">
        <v>0.72</v>
      </c>
      <c r="K3" s="3">
        <f t="shared" si="1"/>
        <v>6120</v>
      </c>
      <c r="L3">
        <f t="shared" si="2"/>
        <v>85</v>
      </c>
    </row>
    <row r="4" spans="1:12" x14ac:dyDescent="0.25">
      <c r="A4" t="s">
        <v>13</v>
      </c>
      <c r="B4" t="s">
        <v>382</v>
      </c>
      <c r="C4" t="s">
        <v>10</v>
      </c>
      <c r="D4">
        <v>4200</v>
      </c>
      <c r="E4">
        <v>2000</v>
      </c>
      <c r="F4">
        <v>4000</v>
      </c>
      <c r="G4" t="str">
        <f t="shared" si="0"/>
        <v>✓ OK</v>
      </c>
      <c r="H4" t="s">
        <v>380</v>
      </c>
      <c r="I4" s="6">
        <v>45424</v>
      </c>
      <c r="J4" s="3">
        <v>0.89</v>
      </c>
      <c r="K4" s="3">
        <f t="shared" si="1"/>
        <v>3738</v>
      </c>
      <c r="L4">
        <f t="shared" si="2"/>
        <v>42</v>
      </c>
    </row>
    <row r="5" spans="1:12" x14ac:dyDescent="0.25">
      <c r="A5" t="s">
        <v>14</v>
      </c>
      <c r="B5" t="s">
        <v>383</v>
      </c>
      <c r="C5" t="s">
        <v>16</v>
      </c>
      <c r="D5">
        <v>6800</v>
      </c>
      <c r="E5">
        <v>2500</v>
      </c>
      <c r="F5">
        <v>5000</v>
      </c>
      <c r="G5" t="str">
        <f t="shared" si="0"/>
        <v>✓ OK</v>
      </c>
      <c r="H5" t="s">
        <v>380</v>
      </c>
      <c r="I5" s="6">
        <v>45420</v>
      </c>
      <c r="J5" s="3">
        <v>0.52</v>
      </c>
      <c r="K5" s="3">
        <f t="shared" si="1"/>
        <v>3536</v>
      </c>
      <c r="L5">
        <f t="shared" si="2"/>
        <v>68</v>
      </c>
    </row>
    <row r="6" spans="1:12" x14ac:dyDescent="0.25">
      <c r="A6" t="s">
        <v>17</v>
      </c>
      <c r="B6" t="s">
        <v>384</v>
      </c>
      <c r="C6" t="s">
        <v>16</v>
      </c>
      <c r="D6">
        <v>3500</v>
      </c>
      <c r="E6">
        <v>1500</v>
      </c>
      <c r="F6">
        <v>3000</v>
      </c>
      <c r="G6" t="str">
        <f t="shared" si="0"/>
        <v>✓ OK</v>
      </c>
      <c r="H6" t="s">
        <v>380</v>
      </c>
      <c r="I6" s="6">
        <v>45417</v>
      </c>
      <c r="J6" s="3">
        <v>0.81</v>
      </c>
      <c r="K6" s="3">
        <f t="shared" si="1"/>
        <v>2835</v>
      </c>
      <c r="L6">
        <f t="shared" si="2"/>
        <v>35</v>
      </c>
    </row>
    <row r="7" spans="1:12" x14ac:dyDescent="0.25">
      <c r="A7" t="s">
        <v>18</v>
      </c>
      <c r="B7" t="s">
        <v>385</v>
      </c>
      <c r="C7" t="s">
        <v>20</v>
      </c>
      <c r="D7">
        <v>12000</v>
      </c>
      <c r="E7">
        <v>4000</v>
      </c>
      <c r="F7">
        <v>8000</v>
      </c>
      <c r="G7" t="str">
        <f t="shared" si="0"/>
        <v>✓ OK</v>
      </c>
      <c r="H7" t="s">
        <v>380</v>
      </c>
      <c r="I7" s="6">
        <v>45430</v>
      </c>
      <c r="J7" s="3">
        <v>0.38</v>
      </c>
      <c r="K7" s="3">
        <f t="shared" si="1"/>
        <v>4560</v>
      </c>
      <c r="L7">
        <f t="shared" si="2"/>
        <v>120</v>
      </c>
    </row>
    <row r="8" spans="1:12" x14ac:dyDescent="0.25">
      <c r="A8" t="s">
        <v>21</v>
      </c>
      <c r="B8" t="s">
        <v>386</v>
      </c>
      <c r="C8" t="s">
        <v>20</v>
      </c>
      <c r="D8">
        <v>9500</v>
      </c>
      <c r="E8">
        <v>3500</v>
      </c>
      <c r="F8">
        <v>7000</v>
      </c>
      <c r="G8" t="str">
        <f t="shared" si="0"/>
        <v>✓ OK</v>
      </c>
      <c r="H8" t="s">
        <v>380</v>
      </c>
      <c r="I8" s="6">
        <v>45426</v>
      </c>
      <c r="J8" s="3">
        <v>0.48</v>
      </c>
      <c r="K8" s="3">
        <f t="shared" si="1"/>
        <v>4560</v>
      </c>
      <c r="L8">
        <f t="shared" si="2"/>
        <v>95</v>
      </c>
    </row>
    <row r="9" spans="1:12" x14ac:dyDescent="0.25">
      <c r="A9" t="s">
        <v>22</v>
      </c>
      <c r="B9" t="s">
        <v>387</v>
      </c>
      <c r="C9" t="s">
        <v>20</v>
      </c>
      <c r="D9">
        <v>5800</v>
      </c>
      <c r="E9">
        <v>2000</v>
      </c>
      <c r="F9">
        <v>4000</v>
      </c>
      <c r="G9" t="str">
        <f t="shared" si="0"/>
        <v>✓ OK</v>
      </c>
      <c r="H9" t="s">
        <v>380</v>
      </c>
      <c r="I9" s="6">
        <v>45423</v>
      </c>
      <c r="J9" s="3">
        <v>0.92</v>
      </c>
      <c r="K9" s="3">
        <f t="shared" si="1"/>
        <v>5336</v>
      </c>
      <c r="L9">
        <f t="shared" si="2"/>
        <v>58</v>
      </c>
    </row>
    <row r="10" spans="1:12" x14ac:dyDescent="0.25">
      <c r="A10" t="s">
        <v>23</v>
      </c>
      <c r="B10" t="s">
        <v>388</v>
      </c>
      <c r="C10" t="s">
        <v>20</v>
      </c>
      <c r="D10">
        <v>7200</v>
      </c>
      <c r="E10">
        <v>3000</v>
      </c>
      <c r="F10">
        <v>6000</v>
      </c>
      <c r="G10" t="str">
        <f t="shared" si="0"/>
        <v>✓ OK</v>
      </c>
      <c r="H10" t="s">
        <v>380</v>
      </c>
      <c r="I10" s="6">
        <v>45428</v>
      </c>
      <c r="J10" s="3">
        <v>0.39</v>
      </c>
      <c r="K10" s="3">
        <f t="shared" si="1"/>
        <v>2808</v>
      </c>
      <c r="L10">
        <f t="shared" si="2"/>
        <v>72</v>
      </c>
    </row>
    <row r="11" spans="1:12" x14ac:dyDescent="0.25">
      <c r="A11" t="s">
        <v>25</v>
      </c>
      <c r="B11" t="s">
        <v>389</v>
      </c>
      <c r="C11" t="s">
        <v>20</v>
      </c>
      <c r="D11">
        <v>4800</v>
      </c>
      <c r="E11">
        <v>2000</v>
      </c>
      <c r="F11">
        <v>4000</v>
      </c>
      <c r="G11" t="str">
        <f t="shared" si="0"/>
        <v>✓ OK</v>
      </c>
      <c r="H11" t="s">
        <v>380</v>
      </c>
      <c r="I11" s="6">
        <v>45421</v>
      </c>
      <c r="J11" s="3">
        <v>0.49</v>
      </c>
      <c r="K11" s="3">
        <f t="shared" si="1"/>
        <v>2352</v>
      </c>
      <c r="L11">
        <f t="shared" si="2"/>
        <v>48</v>
      </c>
    </row>
    <row r="12" spans="1:12" x14ac:dyDescent="0.25">
      <c r="A12" t="s">
        <v>26</v>
      </c>
      <c r="B12" t="s">
        <v>390</v>
      </c>
      <c r="C12" t="s">
        <v>20</v>
      </c>
      <c r="D12">
        <v>6500</v>
      </c>
      <c r="E12">
        <v>2500</v>
      </c>
      <c r="F12">
        <v>5000</v>
      </c>
      <c r="G12" t="str">
        <f t="shared" si="0"/>
        <v>✓ OK</v>
      </c>
      <c r="H12" t="s">
        <v>380</v>
      </c>
      <c r="I12" s="6">
        <v>45425</v>
      </c>
      <c r="J12" s="3">
        <v>0.37</v>
      </c>
      <c r="K12" s="3">
        <f t="shared" si="1"/>
        <v>2405</v>
      </c>
      <c r="L12">
        <f t="shared" si="2"/>
        <v>65</v>
      </c>
    </row>
    <row r="13" spans="1:12" x14ac:dyDescent="0.25">
      <c r="A13" t="s">
        <v>28</v>
      </c>
      <c r="B13" t="s">
        <v>391</v>
      </c>
      <c r="C13" t="s">
        <v>20</v>
      </c>
      <c r="D13">
        <v>3200</v>
      </c>
      <c r="E13">
        <v>1500</v>
      </c>
      <c r="F13">
        <v>3000</v>
      </c>
      <c r="G13" t="str">
        <f t="shared" si="0"/>
        <v>✓ OK</v>
      </c>
      <c r="H13" t="s">
        <v>380</v>
      </c>
      <c r="I13" s="6">
        <v>45419</v>
      </c>
      <c r="J13" s="3">
        <v>0.47</v>
      </c>
      <c r="K13" s="3">
        <f t="shared" si="1"/>
        <v>1504</v>
      </c>
      <c r="L13">
        <f t="shared" si="2"/>
        <v>32</v>
      </c>
    </row>
    <row r="14" spans="1:12" x14ac:dyDescent="0.25">
      <c r="A14" t="s">
        <v>29</v>
      </c>
      <c r="B14" t="s">
        <v>392</v>
      </c>
      <c r="C14" t="s">
        <v>31</v>
      </c>
      <c r="D14">
        <v>4500</v>
      </c>
      <c r="E14">
        <v>2000</v>
      </c>
      <c r="F14">
        <v>4000</v>
      </c>
      <c r="G14" t="str">
        <f t="shared" si="0"/>
        <v>✓ OK</v>
      </c>
      <c r="H14" t="s">
        <v>380</v>
      </c>
      <c r="I14" s="6">
        <v>45429</v>
      </c>
      <c r="J14" s="3">
        <v>0.95</v>
      </c>
      <c r="K14" s="3">
        <f t="shared" si="1"/>
        <v>4275</v>
      </c>
      <c r="L14">
        <f t="shared" si="2"/>
        <v>45</v>
      </c>
    </row>
    <row r="15" spans="1:12" x14ac:dyDescent="0.25">
      <c r="A15" t="s">
        <v>32</v>
      </c>
      <c r="B15" t="s">
        <v>393</v>
      </c>
      <c r="C15" t="s">
        <v>31</v>
      </c>
      <c r="D15">
        <v>2800</v>
      </c>
      <c r="E15">
        <v>1200</v>
      </c>
      <c r="F15">
        <v>2500</v>
      </c>
      <c r="G15" t="str">
        <f t="shared" si="0"/>
        <v>✓ OK</v>
      </c>
      <c r="H15" t="s">
        <v>380</v>
      </c>
      <c r="I15" s="6">
        <v>45418</v>
      </c>
      <c r="J15" s="3">
        <v>1.28</v>
      </c>
      <c r="K15" s="3">
        <f t="shared" si="1"/>
        <v>3584</v>
      </c>
      <c r="L15">
        <f t="shared" si="2"/>
        <v>28</v>
      </c>
    </row>
    <row r="16" spans="1:12" x14ac:dyDescent="0.25">
      <c r="A16" t="s">
        <v>33</v>
      </c>
      <c r="B16" t="s">
        <v>394</v>
      </c>
      <c r="C16" t="s">
        <v>35</v>
      </c>
      <c r="D16">
        <v>5500</v>
      </c>
      <c r="E16">
        <v>2500</v>
      </c>
      <c r="F16">
        <v>5000</v>
      </c>
      <c r="G16" t="str">
        <f t="shared" si="0"/>
        <v>✓ OK</v>
      </c>
      <c r="H16" t="s">
        <v>380</v>
      </c>
      <c r="I16" s="6">
        <v>45431</v>
      </c>
      <c r="J16" s="3">
        <v>0.82</v>
      </c>
      <c r="K16" s="3">
        <f t="shared" si="1"/>
        <v>4510</v>
      </c>
      <c r="L16">
        <f t="shared" si="2"/>
        <v>55</v>
      </c>
    </row>
    <row r="17" spans="1:12" x14ac:dyDescent="0.25">
      <c r="A17" t="s">
        <v>36</v>
      </c>
      <c r="B17" t="s">
        <v>395</v>
      </c>
      <c r="C17" t="s">
        <v>35</v>
      </c>
      <c r="D17">
        <v>2200</v>
      </c>
      <c r="E17">
        <v>1000</v>
      </c>
      <c r="F17">
        <v>2000</v>
      </c>
      <c r="G17" t="str">
        <f t="shared" si="0"/>
        <v>✓ OK</v>
      </c>
      <c r="H17" t="s">
        <v>380</v>
      </c>
      <c r="I17" s="6">
        <v>45416</v>
      </c>
      <c r="J17" s="3">
        <v>1.1499999999999999</v>
      </c>
      <c r="K17" s="3">
        <f t="shared" si="1"/>
        <v>2530</v>
      </c>
      <c r="L17">
        <f t="shared" si="2"/>
        <v>22</v>
      </c>
    </row>
    <row r="18" spans="1:12" x14ac:dyDescent="0.25">
      <c r="A18" t="s">
        <v>37</v>
      </c>
      <c r="B18" t="s">
        <v>396</v>
      </c>
      <c r="C18" t="s">
        <v>39</v>
      </c>
      <c r="D18">
        <v>3800</v>
      </c>
      <c r="E18">
        <v>1500</v>
      </c>
      <c r="F18">
        <v>3000</v>
      </c>
      <c r="G18" t="str">
        <f t="shared" si="0"/>
        <v>✓ OK</v>
      </c>
      <c r="H18" t="s">
        <v>380</v>
      </c>
      <c r="I18" s="6">
        <v>45427</v>
      </c>
      <c r="J18" s="3">
        <v>0.57999999999999996</v>
      </c>
      <c r="K18" s="3">
        <f t="shared" si="1"/>
        <v>2204</v>
      </c>
      <c r="L18">
        <f t="shared" si="2"/>
        <v>38</v>
      </c>
    </row>
    <row r="19" spans="1:12" x14ac:dyDescent="0.25">
      <c r="A19" t="s">
        <v>40</v>
      </c>
      <c r="B19" t="s">
        <v>397</v>
      </c>
      <c r="C19" t="s">
        <v>39</v>
      </c>
      <c r="D19">
        <v>3500</v>
      </c>
      <c r="E19">
        <v>1500</v>
      </c>
      <c r="F19">
        <v>3000</v>
      </c>
      <c r="G19" t="str">
        <f t="shared" si="0"/>
        <v>✓ OK</v>
      </c>
      <c r="H19" t="s">
        <v>380</v>
      </c>
      <c r="I19" s="6">
        <v>45424</v>
      </c>
      <c r="J19" s="3">
        <v>0.59</v>
      </c>
      <c r="K19" s="3">
        <f t="shared" si="1"/>
        <v>2065</v>
      </c>
      <c r="L19">
        <f t="shared" si="2"/>
        <v>35</v>
      </c>
    </row>
    <row r="20" spans="1:12" x14ac:dyDescent="0.25">
      <c r="A20" t="s">
        <v>42</v>
      </c>
      <c r="B20" t="s">
        <v>398</v>
      </c>
      <c r="C20" t="s">
        <v>44</v>
      </c>
      <c r="D20">
        <v>2800</v>
      </c>
      <c r="E20">
        <v>1200</v>
      </c>
      <c r="F20">
        <v>2500</v>
      </c>
      <c r="G20" t="str">
        <f t="shared" si="0"/>
        <v>✓ OK</v>
      </c>
      <c r="H20" t="s">
        <v>380</v>
      </c>
      <c r="I20" s="6">
        <v>45422</v>
      </c>
      <c r="J20" s="3">
        <v>0.72</v>
      </c>
      <c r="K20" s="3">
        <f t="shared" si="1"/>
        <v>2016</v>
      </c>
      <c r="L20">
        <f t="shared" si="2"/>
        <v>28</v>
      </c>
    </row>
    <row r="21" spans="1:12" x14ac:dyDescent="0.25">
      <c r="A21" t="s">
        <v>45</v>
      </c>
      <c r="B21" t="s">
        <v>399</v>
      </c>
      <c r="C21" t="s">
        <v>44</v>
      </c>
      <c r="D21">
        <v>2500</v>
      </c>
      <c r="E21">
        <v>1200</v>
      </c>
      <c r="F21">
        <v>2500</v>
      </c>
      <c r="G21" t="str">
        <f t="shared" si="0"/>
        <v>✓ OK</v>
      </c>
      <c r="H21" t="s">
        <v>380</v>
      </c>
      <c r="I21" s="6">
        <v>45420</v>
      </c>
      <c r="J21" s="3">
        <v>0.74</v>
      </c>
      <c r="K21" s="3">
        <f t="shared" si="1"/>
        <v>1850</v>
      </c>
      <c r="L21">
        <f t="shared" si="2"/>
        <v>25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BFB1-A6C6-4167-80AA-16508B0AB88D}">
  <dimension ref="A1:L105"/>
  <sheetViews>
    <sheetView showGridLines="0" tabSelected="1" workbookViewId="0">
      <selection sqref="A1:L1"/>
    </sheetView>
  </sheetViews>
  <sheetFormatPr defaultRowHeight="15" x14ac:dyDescent="0.25"/>
  <cols>
    <col min="7" max="7" width="24.7109375" customWidth="1"/>
    <col min="9" max="9" width="21.85546875" customWidth="1"/>
    <col min="10" max="10" width="17.140625" customWidth="1"/>
    <col min="11" max="11" width="22.85546875" customWidth="1"/>
    <col min="12" max="12" width="61" customWidth="1"/>
  </cols>
  <sheetData>
    <row r="1" spans="1:12" ht="42" customHeight="1" x14ac:dyDescent="0.4">
      <c r="A1" s="36" t="s">
        <v>1290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4" customHeight="1" x14ac:dyDescent="0.25">
      <c r="A2" s="38" t="s">
        <v>1291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9.9499999999999993" customHeight="1" x14ac:dyDescent="0.25"/>
    <row r="4" spans="1:12" ht="27.95" customHeight="1" x14ac:dyDescent="0.3">
      <c r="A4" s="39" t="s">
        <v>1292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ht="21.95" customHeight="1" x14ac:dyDescent="0.25">
      <c r="A5" s="48" t="s">
        <v>276</v>
      </c>
      <c r="B5" s="48" t="s">
        <v>277</v>
      </c>
      <c r="C5" s="48" t="s">
        <v>1293</v>
      </c>
      <c r="D5" s="48" t="s">
        <v>488</v>
      </c>
      <c r="E5" s="48" t="s">
        <v>1294</v>
      </c>
      <c r="F5" s="48" t="s">
        <v>7</v>
      </c>
      <c r="G5" s="48" t="s">
        <v>1295</v>
      </c>
      <c r="H5" s="48" t="s">
        <v>1296</v>
      </c>
    </row>
    <row r="6" spans="1:12" ht="24" customHeight="1" x14ac:dyDescent="0.25">
      <c r="A6" s="49" t="s">
        <v>279</v>
      </c>
      <c r="B6" s="50">
        <f>'Targets &amp; KPIs'!B29</f>
        <v>880000</v>
      </c>
      <c r="C6" s="50">
        <f>'Monthly Trends'!B16</f>
        <v>465360.6</v>
      </c>
      <c r="D6" s="51">
        <f>IFERROR(C6/B6,"-")</f>
        <v>0.52881886363636366</v>
      </c>
      <c r="E6" s="50">
        <f>C6-B6</f>
        <v>-414639.4</v>
      </c>
      <c r="F6" s="52" t="s">
        <v>1297</v>
      </c>
      <c r="G6" s="52" t="s">
        <v>1298</v>
      </c>
      <c r="H6" s="99" t="s">
        <v>1299</v>
      </c>
    </row>
    <row r="7" spans="1:12" ht="24" customHeight="1" x14ac:dyDescent="0.25">
      <c r="A7" s="44" t="s">
        <v>400</v>
      </c>
      <c r="B7" s="45">
        <f>'Targets &amp; KPIs'!B30</f>
        <v>580000</v>
      </c>
      <c r="C7" s="45">
        <f>'Monthly Trends'!C16</f>
        <v>310342.60000000003</v>
      </c>
      <c r="D7" s="46">
        <f>IFERROR(C7/B7,"-")</f>
        <v>0.53507344827586212</v>
      </c>
      <c r="E7" s="45">
        <f>C7-B7</f>
        <v>-269657.39999999997</v>
      </c>
      <c r="F7" s="47" t="s">
        <v>1297</v>
      </c>
      <c r="G7" s="47" t="s">
        <v>1298</v>
      </c>
      <c r="H7" s="100" t="s">
        <v>1300</v>
      </c>
    </row>
    <row r="8" spans="1:12" ht="24" customHeight="1" x14ac:dyDescent="0.25">
      <c r="A8" s="53" t="s">
        <v>281</v>
      </c>
      <c r="B8" s="54">
        <f>'Targets &amp; KPIs'!B31</f>
        <v>120</v>
      </c>
      <c r="C8" s="54">
        <f>'Monthly Trends'!D16</f>
        <v>263</v>
      </c>
      <c r="D8" s="55">
        <f>IFERROR(C8/B8,"-")</f>
        <v>2.1916666666666669</v>
      </c>
      <c r="E8" s="54">
        <f>C8-B8</f>
        <v>143</v>
      </c>
      <c r="F8" s="54" t="s">
        <v>1301</v>
      </c>
      <c r="G8" s="54" t="s">
        <v>1302</v>
      </c>
      <c r="H8" s="101" t="s">
        <v>1303</v>
      </c>
    </row>
    <row r="9" spans="1:12" ht="24" customHeight="1" x14ac:dyDescent="0.25">
      <c r="A9" s="44" t="s">
        <v>401</v>
      </c>
      <c r="B9" s="45">
        <f>'Targets &amp; KPIs'!B32</f>
        <v>1500</v>
      </c>
      <c r="C9" s="45">
        <f>'Monthly Trends'!F16</f>
        <v>1763.4878290043289</v>
      </c>
      <c r="D9" s="46">
        <f>IFERROR(C9/B9,"-")</f>
        <v>1.1756585526695527</v>
      </c>
      <c r="E9" s="45">
        <f>C9-B9</f>
        <v>263.48782900432889</v>
      </c>
      <c r="F9" s="47" t="s">
        <v>1301</v>
      </c>
      <c r="G9" s="47" t="s">
        <v>1304</v>
      </c>
      <c r="H9" s="100" t="s">
        <v>1305</v>
      </c>
    </row>
    <row r="10" spans="1:12" ht="24" customHeight="1" x14ac:dyDescent="0.25">
      <c r="A10" s="53" t="s">
        <v>282</v>
      </c>
      <c r="B10" s="54">
        <f>'Targets &amp; KPIs'!B33</f>
        <v>0.6</v>
      </c>
      <c r="C10" s="54">
        <f>'Monthly Trends'!G16</f>
        <v>0.66688628130529326</v>
      </c>
      <c r="D10" s="55">
        <f>IFERROR(C10/B10,"-")</f>
        <v>1.1114771355088222</v>
      </c>
      <c r="E10" s="54">
        <f>C10-B10</f>
        <v>6.6886281305293283E-2</v>
      </c>
      <c r="F10" s="54" t="s">
        <v>1301</v>
      </c>
      <c r="G10" s="54" t="s">
        <v>1306</v>
      </c>
      <c r="H10" s="101" t="s">
        <v>1307</v>
      </c>
    </row>
    <row r="11" spans="1:12" ht="24" customHeight="1" x14ac:dyDescent="0.25">
      <c r="A11" s="44" t="s">
        <v>283</v>
      </c>
      <c r="B11" s="47">
        <f>'Targets &amp; KPIs'!B34</f>
        <v>20</v>
      </c>
      <c r="C11" s="47">
        <f>'Targets &amp; KPIs'!C34</f>
        <v>110</v>
      </c>
      <c r="D11" s="46">
        <f>IFERROR(C11/B11,"-")</f>
        <v>5.5</v>
      </c>
      <c r="E11" s="47">
        <f>C11-B11</f>
        <v>90</v>
      </c>
      <c r="F11" s="47" t="s">
        <v>1301</v>
      </c>
      <c r="G11" s="47" t="s">
        <v>1308</v>
      </c>
      <c r="H11" s="100" t="s">
        <v>1309</v>
      </c>
    </row>
    <row r="12" spans="1:12" ht="24" customHeight="1" x14ac:dyDescent="0.25">
      <c r="A12" s="53" t="s">
        <v>1310</v>
      </c>
      <c r="B12" s="54" t="s">
        <v>505</v>
      </c>
      <c r="C12" s="56" cm="1">
        <f t="array" ref="C12">SUMPRODUCT(('Sales Pipeline'!E2:E71)*1)</f>
        <v>6878000</v>
      </c>
      <c r="D12" s="54" t="s">
        <v>505</v>
      </c>
      <c r="E12" s="54" t="s">
        <v>505</v>
      </c>
      <c r="F12" s="54" t="s">
        <v>1311</v>
      </c>
      <c r="G12" s="54" t="s">
        <v>1312</v>
      </c>
      <c r="H12" s="101" t="s">
        <v>1313</v>
      </c>
    </row>
    <row r="13" spans="1:12" ht="24" customHeight="1" x14ac:dyDescent="0.25">
      <c r="A13" s="41" t="s">
        <v>404</v>
      </c>
      <c r="B13" s="43" t="s">
        <v>505</v>
      </c>
      <c r="C13" s="42" cm="1">
        <f t="array" ref="C13">SUMPRODUCT(('Sales Pipeline'!G2:G71)*1)</f>
        <v>3069150</v>
      </c>
      <c r="D13" s="43" t="s">
        <v>505</v>
      </c>
      <c r="E13" s="43" t="s">
        <v>505</v>
      </c>
      <c r="F13" s="43" t="s">
        <v>1314</v>
      </c>
      <c r="G13" s="43" t="s">
        <v>1315</v>
      </c>
      <c r="H13" s="102" t="s">
        <v>1316</v>
      </c>
    </row>
    <row r="14" spans="1:12" ht="9.9499999999999993" customHeight="1" x14ac:dyDescent="0.25"/>
    <row r="15" spans="1:12" ht="27.95" customHeight="1" x14ac:dyDescent="0.3">
      <c r="A15" s="39" t="s">
        <v>1317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</row>
    <row r="16" spans="1:12" ht="21.95" customHeight="1" x14ac:dyDescent="0.25">
      <c r="A16" s="48" t="s">
        <v>201</v>
      </c>
      <c r="B16" s="48" t="s">
        <v>50</v>
      </c>
      <c r="C16" s="48" t="s">
        <v>486</v>
      </c>
      <c r="D16" s="48" t="s">
        <v>1318</v>
      </c>
      <c r="E16" s="48" t="s">
        <v>488</v>
      </c>
      <c r="F16" s="48" t="s">
        <v>495</v>
      </c>
      <c r="G16" s="48" t="s">
        <v>406</v>
      </c>
      <c r="H16" s="48" t="s">
        <v>1319</v>
      </c>
      <c r="I16" s="48" t="s">
        <v>403</v>
      </c>
      <c r="J16" s="48" t="s">
        <v>1320</v>
      </c>
      <c r="K16" s="48" t="s">
        <v>1321</v>
      </c>
      <c r="L16" s="48" t="s">
        <v>1322</v>
      </c>
    </row>
    <row r="17" spans="1:12" ht="24" customHeight="1" x14ac:dyDescent="0.25">
      <c r="A17" s="49" t="s">
        <v>64</v>
      </c>
      <c r="B17" s="52" t="s">
        <v>60</v>
      </c>
      <c r="C17" s="50">
        <f>'Targets &amp; KPIs'!B21</f>
        <v>200000</v>
      </c>
      <c r="D17" s="50">
        <f>SUMIFS('Sales Data'!J:J,'Sales Data'!M:M,A17)</f>
        <v>95716.999999999971</v>
      </c>
      <c r="E17" s="51">
        <f>IFERROR(D17/C17,0)</f>
        <v>0.47858499999999987</v>
      </c>
      <c r="F17" s="50">
        <f>SUMIFS('Sales Data'!L:L,'Sales Data'!M:M,A17)</f>
        <v>64055.200000000012</v>
      </c>
      <c r="G17" s="52">
        <f>COUNTIFS('Sales Data'!M:M,A17)</f>
        <v>63</v>
      </c>
      <c r="H17" s="50">
        <f>IFERROR(D17/G17,0)</f>
        <v>1519.3174603174598</v>
      </c>
      <c r="I17" s="50">
        <v>1730000</v>
      </c>
      <c r="J17" s="52">
        <v>17</v>
      </c>
      <c r="K17" s="50">
        <f>'Targets &amp; KPIs'!F21</f>
        <v>4785.8499999999985</v>
      </c>
      <c r="L17" s="99" t="s">
        <v>1323</v>
      </c>
    </row>
    <row r="18" spans="1:12" ht="24" customHeight="1" x14ac:dyDescent="0.25">
      <c r="A18" s="44" t="s">
        <v>76</v>
      </c>
      <c r="B18" s="47" t="s">
        <v>74</v>
      </c>
      <c r="C18" s="45">
        <f>'Targets &amp; KPIs'!B22</f>
        <v>220000</v>
      </c>
      <c r="D18" s="45">
        <f>SUMIFS('Sales Data'!J:J,'Sales Data'!M:M,A18)</f>
        <v>134445.5</v>
      </c>
      <c r="E18" s="46">
        <f>IFERROR(D18/C18,0)</f>
        <v>0.61111590909090907</v>
      </c>
      <c r="F18" s="45">
        <f>SUMIFS('Sales Data'!L:L,'Sales Data'!M:M,A18)</f>
        <v>89188.200000000012</v>
      </c>
      <c r="G18" s="47">
        <f>COUNTIFS('Sales Data'!M:M,A18)</f>
        <v>65</v>
      </c>
      <c r="H18" s="45">
        <f>IFERROR(D18/G18,0)</f>
        <v>2068.3923076923079</v>
      </c>
      <c r="I18" s="45">
        <v>1505000</v>
      </c>
      <c r="J18" s="47">
        <v>17</v>
      </c>
      <c r="K18" s="45">
        <f>'Targets &amp; KPIs'!F22</f>
        <v>6722.2750000000005</v>
      </c>
      <c r="L18" s="100" t="s">
        <v>1324</v>
      </c>
    </row>
    <row r="19" spans="1:12" ht="24" customHeight="1" x14ac:dyDescent="0.25">
      <c r="A19" s="53" t="s">
        <v>83</v>
      </c>
      <c r="B19" s="54" t="s">
        <v>80</v>
      </c>
      <c r="C19" s="56">
        <f>'Targets &amp; KPIs'!B23</f>
        <v>210000</v>
      </c>
      <c r="D19" s="56">
        <f>SUMIFS('Sales Data'!J:J,'Sales Data'!M:M,A19)</f>
        <v>90159.599999999977</v>
      </c>
      <c r="E19" s="55">
        <f>IFERROR(D19/C19,0)</f>
        <v>0.42933142857142848</v>
      </c>
      <c r="F19" s="56">
        <f>SUMIFS('Sales Data'!L:L,'Sales Data'!M:M,A19)</f>
        <v>59645.5</v>
      </c>
      <c r="G19" s="54">
        <f>COUNTIFS('Sales Data'!M:M,A19)</f>
        <v>73</v>
      </c>
      <c r="H19" s="56">
        <f>IFERROR(D19/G19,0)</f>
        <v>1235.0630136986299</v>
      </c>
      <c r="I19" s="56">
        <v>1716000</v>
      </c>
      <c r="J19" s="54">
        <v>17</v>
      </c>
      <c r="K19" s="56">
        <f>'Targets &amp; KPIs'!F23</f>
        <v>4958.7779999999984</v>
      </c>
      <c r="L19" s="101" t="s">
        <v>1325</v>
      </c>
    </row>
    <row r="20" spans="1:12" ht="24" customHeight="1" x14ac:dyDescent="0.25">
      <c r="A20" s="44" t="s">
        <v>90</v>
      </c>
      <c r="B20" s="47" t="s">
        <v>87</v>
      </c>
      <c r="C20" s="45">
        <f>'Targets &amp; KPIs'!B24</f>
        <v>250000</v>
      </c>
      <c r="D20" s="45">
        <f>SUMIFS('Sales Data'!J:J,'Sales Data'!M:M,A20)</f>
        <v>145038.5</v>
      </c>
      <c r="E20" s="46">
        <f>IFERROR(D20/C20,0)</f>
        <v>0.58015399999999995</v>
      </c>
      <c r="F20" s="45">
        <f>SUMIFS('Sales Data'!L:L,'Sales Data'!M:M,A20)</f>
        <v>97453.700000000041</v>
      </c>
      <c r="G20" s="47">
        <f>COUNTIFS('Sales Data'!M:M,A20)</f>
        <v>62</v>
      </c>
      <c r="H20" s="45">
        <f>IFERROR(D20/G20,0)</f>
        <v>2339.3306451612902</v>
      </c>
      <c r="I20" s="45">
        <v>1927000</v>
      </c>
      <c r="J20" s="47">
        <v>19</v>
      </c>
      <c r="K20" s="45">
        <f>'Targets &amp; KPIs'!F24</f>
        <v>6526.7325000000001</v>
      </c>
      <c r="L20" s="100" t="s">
        <v>1326</v>
      </c>
    </row>
    <row r="21" spans="1:12" ht="24" customHeight="1" x14ac:dyDescent="0.25">
      <c r="A21" s="57" t="s">
        <v>1327</v>
      </c>
      <c r="B21" s="57" t="s">
        <v>1328</v>
      </c>
      <c r="C21" s="58">
        <f>SUM(C17:C20)</f>
        <v>880000</v>
      </c>
      <c r="D21" s="58">
        <f>SUM(D17:D20)</f>
        <v>465360.6</v>
      </c>
      <c r="E21" s="59">
        <f>IFERROR(D21/C21,0)</f>
        <v>0.52881886363636366</v>
      </c>
      <c r="F21" s="58">
        <f>SUM(F17:F20)</f>
        <v>310342.60000000009</v>
      </c>
      <c r="G21" s="57">
        <f>SUM(G17:G20)</f>
        <v>263</v>
      </c>
      <c r="H21" s="58">
        <f>IFERROR(D21/G21,0)</f>
        <v>1769.4319391634981</v>
      </c>
      <c r="I21" s="58">
        <f>SUM(I17:I20)</f>
        <v>6878000</v>
      </c>
      <c r="J21" s="57">
        <f>SUM(J17:J20)</f>
        <v>70</v>
      </c>
      <c r="K21" s="58">
        <f>SUM(K17:K20)</f>
        <v>22993.635499999997</v>
      </c>
      <c r="L21" s="103" t="s">
        <v>1329</v>
      </c>
    </row>
    <row r="22" spans="1:12" ht="9.9499999999999993" customHeight="1" x14ac:dyDescent="0.25"/>
    <row r="23" spans="1:12" ht="27.95" customHeight="1" x14ac:dyDescent="0.3">
      <c r="A23" s="39" t="s">
        <v>1330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24" customHeight="1" x14ac:dyDescent="0.25">
      <c r="A24" s="60" t="s">
        <v>291</v>
      </c>
      <c r="B24" s="60" t="s">
        <v>1331</v>
      </c>
      <c r="C24" s="60" t="s">
        <v>1332</v>
      </c>
      <c r="D24" s="60" t="s">
        <v>1333</v>
      </c>
      <c r="E24" s="60" t="s">
        <v>1334</v>
      </c>
      <c r="F24" s="60" t="s">
        <v>1335</v>
      </c>
      <c r="G24" s="60" t="s">
        <v>1336</v>
      </c>
    </row>
    <row r="25" spans="1:12" ht="24" customHeight="1" x14ac:dyDescent="0.25">
      <c r="A25" s="53" t="s">
        <v>327</v>
      </c>
      <c r="B25" s="54">
        <f>COUNTIFS('Sales Pipeline'!H:H,"Closing")</f>
        <v>11</v>
      </c>
      <c r="C25" s="56">
        <f>SUMIFS('Sales Pipeline'!E:E,'Sales Pipeline'!H:H,"Closing")</f>
        <v>458000</v>
      </c>
      <c r="D25" s="56">
        <f>SUMIFS('Sales Pipeline'!G:G,'Sales Pipeline'!H:H,"Closing")</f>
        <v>313197.5</v>
      </c>
      <c r="E25" s="56">
        <f>IFERROR(C25/B25,0)</f>
        <v>41636.36363636364</v>
      </c>
      <c r="F25" s="55">
        <f>IFERROR(C25/C29,0)</f>
        <v>6.6589124745565567E-2</v>
      </c>
      <c r="G25" s="101" t="s">
        <v>1337</v>
      </c>
    </row>
    <row r="26" spans="1:12" ht="24" customHeight="1" x14ac:dyDescent="0.25">
      <c r="A26" s="44" t="s">
        <v>300</v>
      </c>
      <c r="B26" s="47">
        <f>COUNTIFS('Sales Pipeline'!H:H,"Negotiation")</f>
        <v>18</v>
      </c>
      <c r="C26" s="45">
        <f>SUMIFS('Sales Pipeline'!E:E,'Sales Pipeline'!H:H,"Negotiation")</f>
        <v>1718000</v>
      </c>
      <c r="D26" s="45">
        <f>SUMIFS('Sales Pipeline'!G:G,'Sales Pipeline'!H:H,"Negotiation")</f>
        <v>855110</v>
      </c>
      <c r="E26" s="45">
        <f>IFERROR(C26/B26,0)</f>
        <v>95444.444444444438</v>
      </c>
      <c r="F26" s="46">
        <f>IFERROR(C26/C29,0)</f>
        <v>0.24978191334690317</v>
      </c>
      <c r="G26" s="100" t="s">
        <v>1338</v>
      </c>
    </row>
    <row r="27" spans="1:12" ht="24" customHeight="1" x14ac:dyDescent="0.25">
      <c r="A27" s="53" t="s">
        <v>307</v>
      </c>
      <c r="B27" s="54">
        <f>COUNTIFS('Sales Pipeline'!H:H,"Proposal")</f>
        <v>25</v>
      </c>
      <c r="C27" s="56">
        <f>SUMIFS('Sales Pipeline'!E:E,'Sales Pipeline'!H:H,"Proposal")</f>
        <v>2204000</v>
      </c>
      <c r="D27" s="56">
        <f>SUMIFS('Sales Pipeline'!G:G,'Sales Pipeline'!H:H,"Proposal")</f>
        <v>1089900</v>
      </c>
      <c r="E27" s="56">
        <f>IFERROR(C27/B27,0)</f>
        <v>88160</v>
      </c>
      <c r="F27" s="55">
        <f>IFERROR(C27/C29,0)</f>
        <v>0.32044198895027626</v>
      </c>
      <c r="G27" s="101" t="s">
        <v>1339</v>
      </c>
    </row>
    <row r="28" spans="1:12" ht="24" customHeight="1" x14ac:dyDescent="0.25">
      <c r="A28" s="44" t="s">
        <v>320</v>
      </c>
      <c r="B28" s="47">
        <f>COUNTIFS('Sales Pipeline'!H:H,"Qualification")</f>
        <v>16</v>
      </c>
      <c r="C28" s="45">
        <f>SUMIFS('Sales Pipeline'!E:E,'Sales Pipeline'!H:H,"Qualification")</f>
        <v>2498000</v>
      </c>
      <c r="D28" s="45">
        <f>SUMIFS('Sales Pipeline'!G:G,'Sales Pipeline'!H:H,"Qualification")</f>
        <v>810942.5</v>
      </c>
      <c r="E28" s="45">
        <f>IFERROR(C28/B28,0)</f>
        <v>156125</v>
      </c>
      <c r="F28" s="46">
        <f>IFERROR(C28/C29,0)</f>
        <v>0.36318697295725499</v>
      </c>
      <c r="G28" s="100" t="s">
        <v>1340</v>
      </c>
    </row>
    <row r="29" spans="1:12" ht="24" customHeight="1" x14ac:dyDescent="0.25">
      <c r="A29" s="61" t="s">
        <v>1341</v>
      </c>
      <c r="B29" s="61">
        <f>SUM(B25:B28)</f>
        <v>70</v>
      </c>
      <c r="C29" s="62">
        <f>SUM(C25:C28)</f>
        <v>6878000</v>
      </c>
      <c r="D29" s="62">
        <f>SUM(D25:D28)</f>
        <v>3069150</v>
      </c>
      <c r="E29" s="62">
        <f>IFERROR(C29/B29,0)</f>
        <v>98257.142857142855</v>
      </c>
      <c r="F29" s="63">
        <v>1</v>
      </c>
      <c r="G29" s="104" t="s">
        <v>1342</v>
      </c>
    </row>
    <row r="30" spans="1:12" ht="9.9499999999999993" customHeight="1" x14ac:dyDescent="0.25"/>
    <row r="31" spans="1:12" ht="27.95" customHeight="1" x14ac:dyDescent="0.3">
      <c r="A31" s="64" t="s">
        <v>1343</v>
      </c>
      <c r="B31" s="65"/>
      <c r="C31" s="65"/>
      <c r="D31" s="65"/>
      <c r="E31" s="65"/>
      <c r="F31" s="65"/>
    </row>
    <row r="32" spans="1:12" ht="44.1" customHeight="1" x14ac:dyDescent="0.25">
      <c r="A32" s="66" t="s">
        <v>1344</v>
      </c>
      <c r="B32" s="66" t="s">
        <v>1345</v>
      </c>
      <c r="C32" s="66" t="s">
        <v>1346</v>
      </c>
      <c r="D32" s="66" t="s">
        <v>1347</v>
      </c>
      <c r="E32" s="66" t="s">
        <v>1348</v>
      </c>
      <c r="F32" s="66" t="s">
        <v>1349</v>
      </c>
    </row>
    <row r="33" spans="1:12" ht="44.1" customHeight="1" x14ac:dyDescent="0.25">
      <c r="A33" s="73">
        <v>1</v>
      </c>
      <c r="B33" s="74" t="s">
        <v>1350</v>
      </c>
      <c r="C33" s="75" t="s">
        <v>1351</v>
      </c>
      <c r="D33" s="76" t="s">
        <v>1352</v>
      </c>
      <c r="E33" s="74" t="s">
        <v>1353</v>
      </c>
      <c r="F33" s="76" t="s">
        <v>1354</v>
      </c>
    </row>
    <row r="34" spans="1:12" ht="44.1" customHeight="1" x14ac:dyDescent="0.25">
      <c r="A34" s="69">
        <v>2</v>
      </c>
      <c r="B34" s="70" t="s">
        <v>1355</v>
      </c>
      <c r="C34" s="72" t="s">
        <v>1356</v>
      </c>
      <c r="D34" s="77" t="s">
        <v>1357</v>
      </c>
      <c r="E34" s="70" t="s">
        <v>1358</v>
      </c>
      <c r="F34" s="77" t="s">
        <v>1359</v>
      </c>
    </row>
    <row r="35" spans="1:12" ht="44.1" customHeight="1" x14ac:dyDescent="0.25">
      <c r="A35" s="67">
        <v>3</v>
      </c>
      <c r="B35" s="68" t="s">
        <v>1360</v>
      </c>
      <c r="C35" s="71" t="s">
        <v>1356</v>
      </c>
      <c r="D35" s="78" t="s">
        <v>1361</v>
      </c>
      <c r="E35" s="68" t="s">
        <v>1362</v>
      </c>
      <c r="F35" s="78" t="s">
        <v>1363</v>
      </c>
    </row>
    <row r="36" spans="1:12" ht="9.9499999999999993" customHeight="1" x14ac:dyDescent="0.25"/>
    <row r="37" spans="1:12" ht="27.95" customHeight="1" x14ac:dyDescent="0.3">
      <c r="A37" s="79" t="s">
        <v>1364</v>
      </c>
      <c r="B37" s="80"/>
      <c r="C37" s="80"/>
      <c r="D37" s="80"/>
      <c r="E37" s="80"/>
      <c r="F37" s="80"/>
    </row>
    <row r="38" spans="1:12" ht="44.1" customHeight="1" x14ac:dyDescent="0.25">
      <c r="A38" s="81" t="s">
        <v>1344</v>
      </c>
      <c r="B38" s="81" t="s">
        <v>1365</v>
      </c>
      <c r="C38" s="81" t="s">
        <v>1366</v>
      </c>
      <c r="D38" s="81" t="s">
        <v>1347</v>
      </c>
      <c r="E38" s="81" t="s">
        <v>1367</v>
      </c>
      <c r="F38" s="81" t="s">
        <v>1336</v>
      </c>
    </row>
    <row r="39" spans="1:12" ht="44.1" customHeight="1" x14ac:dyDescent="0.25">
      <c r="A39" s="88">
        <v>1</v>
      </c>
      <c r="B39" s="89" t="s">
        <v>1368</v>
      </c>
      <c r="C39" s="90" t="s">
        <v>1369</v>
      </c>
      <c r="D39" s="91" t="s">
        <v>1370</v>
      </c>
      <c r="E39" s="89" t="s">
        <v>1371</v>
      </c>
      <c r="F39" s="91" t="s">
        <v>1372</v>
      </c>
    </row>
    <row r="40" spans="1:12" ht="44.1" customHeight="1" x14ac:dyDescent="0.25">
      <c r="A40" s="85">
        <v>2</v>
      </c>
      <c r="B40" s="86" t="s">
        <v>1373</v>
      </c>
      <c r="C40" s="87" t="s">
        <v>1374</v>
      </c>
      <c r="D40" s="92" t="s">
        <v>1375</v>
      </c>
      <c r="E40" s="86" t="s">
        <v>1376</v>
      </c>
      <c r="F40" s="92" t="s">
        <v>1377</v>
      </c>
    </row>
    <row r="41" spans="1:12" ht="44.1" customHeight="1" x14ac:dyDescent="0.25">
      <c r="A41" s="82">
        <v>3</v>
      </c>
      <c r="B41" s="83" t="s">
        <v>1378</v>
      </c>
      <c r="C41" s="84" t="s">
        <v>1379</v>
      </c>
      <c r="D41" s="93" t="s">
        <v>1380</v>
      </c>
      <c r="E41" s="83" t="s">
        <v>1381</v>
      </c>
      <c r="F41" s="93" t="s">
        <v>1382</v>
      </c>
    </row>
    <row r="42" spans="1:12" ht="9.9499999999999993" customHeight="1" x14ac:dyDescent="0.25"/>
    <row r="43" spans="1:12" ht="27.95" customHeight="1" x14ac:dyDescent="0.3">
      <c r="A43" s="39" t="s">
        <v>1383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ht="21.95" customHeight="1" x14ac:dyDescent="0.25">
      <c r="A44" s="95" t="s">
        <v>1384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ht="48" customHeight="1" x14ac:dyDescent="0.25">
      <c r="A45" s="96" t="s">
        <v>1385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ht="8.1" customHeight="1" x14ac:dyDescent="0.25">
      <c r="A46" s="9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ht="21.95" customHeight="1" x14ac:dyDescent="0.25">
      <c r="A47" s="95" t="s">
        <v>1386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2" ht="48" customHeight="1" x14ac:dyDescent="0.25">
      <c r="A48" s="96" t="s">
        <v>1387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49" spans="1:12" ht="8.1" customHeight="1" x14ac:dyDescent="0.25">
      <c r="A49" s="9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</row>
    <row r="50" spans="1:12" ht="21.95" customHeight="1" x14ac:dyDescent="0.25">
      <c r="A50" s="95" t="s">
        <v>1388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ht="48" customHeight="1" x14ac:dyDescent="0.25">
      <c r="A51" s="96" t="s">
        <v>1389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1:12" ht="8.1" customHeight="1" x14ac:dyDescent="0.25">
      <c r="A52" s="9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ht="21.95" customHeight="1" x14ac:dyDescent="0.25">
      <c r="A53" s="95" t="s">
        <v>1390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ht="27.95" customHeight="1" x14ac:dyDescent="0.25">
      <c r="A54" s="97" t="s">
        <v>1391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ht="27.95" customHeight="1" x14ac:dyDescent="0.25">
      <c r="A55" s="97" t="s">
        <v>1392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ht="27.95" customHeight="1" x14ac:dyDescent="0.25">
      <c r="A56" s="97" t="s">
        <v>1393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ht="27.95" customHeight="1" x14ac:dyDescent="0.25">
      <c r="A57" s="97" t="s">
        <v>1394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27.95" customHeight="1" x14ac:dyDescent="0.25">
      <c r="A58" s="97" t="s">
        <v>1395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ht="27.95" customHeight="1" x14ac:dyDescent="0.3">
      <c r="A59" s="39" t="s">
        <v>1404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1" spans="1:12" x14ac:dyDescent="0.25">
      <c r="A61" s="98" t="s">
        <v>1396</v>
      </c>
    </row>
    <row r="62" spans="1:12" x14ac:dyDescent="0.25">
      <c r="A62" t="s">
        <v>201</v>
      </c>
      <c r="B62" t="s">
        <v>277</v>
      </c>
      <c r="C62" t="s">
        <v>1397</v>
      </c>
      <c r="D62" t="s">
        <v>495</v>
      </c>
      <c r="E62" t="s">
        <v>488</v>
      </c>
    </row>
    <row r="63" spans="1:12" x14ac:dyDescent="0.25">
      <c r="A63" t="s">
        <v>64</v>
      </c>
      <c r="B63">
        <f>C17</f>
        <v>200000</v>
      </c>
      <c r="C63">
        <f>D17</f>
        <v>95716.999999999971</v>
      </c>
      <c r="D63">
        <f>F17</f>
        <v>64055.200000000012</v>
      </c>
      <c r="E63">
        <f>E17</f>
        <v>0.47858499999999987</v>
      </c>
    </row>
    <row r="64" spans="1:12" x14ac:dyDescent="0.25">
      <c r="A64" t="s">
        <v>76</v>
      </c>
      <c r="B64">
        <f>C18</f>
        <v>220000</v>
      </c>
      <c r="C64">
        <f>D18</f>
        <v>134445.5</v>
      </c>
      <c r="D64">
        <f>F18</f>
        <v>89188.200000000012</v>
      </c>
      <c r="E64">
        <f>E18</f>
        <v>0.61111590909090907</v>
      </c>
    </row>
    <row r="65" spans="1:5" x14ac:dyDescent="0.25">
      <c r="A65" t="s">
        <v>83</v>
      </c>
      <c r="B65">
        <f>C19</f>
        <v>210000</v>
      </c>
      <c r="C65">
        <f>D19</f>
        <v>90159.599999999977</v>
      </c>
      <c r="D65">
        <f>F19</f>
        <v>59645.5</v>
      </c>
      <c r="E65">
        <f>E19</f>
        <v>0.42933142857142848</v>
      </c>
    </row>
    <row r="66" spans="1:5" x14ac:dyDescent="0.25">
      <c r="A66" t="s">
        <v>90</v>
      </c>
      <c r="B66">
        <f>C20</f>
        <v>250000</v>
      </c>
      <c r="C66">
        <f>D20</f>
        <v>145038.5</v>
      </c>
      <c r="D66">
        <f>F20</f>
        <v>97453.700000000041</v>
      </c>
      <c r="E66">
        <f>E20</f>
        <v>0.58015399999999995</v>
      </c>
    </row>
    <row r="68" spans="1:5" x14ac:dyDescent="0.25">
      <c r="A68" s="98" t="s">
        <v>1398</v>
      </c>
    </row>
    <row r="69" spans="1:5" x14ac:dyDescent="0.25">
      <c r="A69" t="s">
        <v>291</v>
      </c>
      <c r="B69" t="s">
        <v>1399</v>
      </c>
      <c r="C69" t="s">
        <v>1400</v>
      </c>
    </row>
    <row r="70" spans="1:5" x14ac:dyDescent="0.25">
      <c r="A70" t="s">
        <v>327</v>
      </c>
      <c r="B70">
        <f>C25</f>
        <v>458000</v>
      </c>
      <c r="C70">
        <f>B25</f>
        <v>11</v>
      </c>
    </row>
    <row r="71" spans="1:5" x14ac:dyDescent="0.25">
      <c r="A71" t="s">
        <v>300</v>
      </c>
      <c r="B71">
        <f>C26</f>
        <v>1718000</v>
      </c>
      <c r="C71">
        <f>B26</f>
        <v>18</v>
      </c>
    </row>
    <row r="72" spans="1:5" x14ac:dyDescent="0.25">
      <c r="A72" t="s">
        <v>307</v>
      </c>
      <c r="B72">
        <f>C27</f>
        <v>2204000</v>
      </c>
      <c r="C72">
        <f>B27</f>
        <v>25</v>
      </c>
    </row>
    <row r="73" spans="1:5" x14ac:dyDescent="0.25">
      <c r="A73" t="s">
        <v>320</v>
      </c>
      <c r="B73">
        <f>C28</f>
        <v>2498000</v>
      </c>
      <c r="C73">
        <f>B28</f>
        <v>16</v>
      </c>
    </row>
    <row r="75" spans="1:5" x14ac:dyDescent="0.25">
      <c r="A75" s="98" t="s">
        <v>1401</v>
      </c>
    </row>
    <row r="76" spans="1:5" x14ac:dyDescent="0.25">
      <c r="A76" t="s">
        <v>257</v>
      </c>
      <c r="B76" t="s">
        <v>405</v>
      </c>
      <c r="C76" t="s">
        <v>495</v>
      </c>
    </row>
    <row r="77" spans="1:5" x14ac:dyDescent="0.25">
      <c r="A77" t="str">
        <f>'Monthly Trends'!A4</f>
        <v>January</v>
      </c>
      <c r="B77">
        <f>'Monthly Trends'!B4</f>
        <v>33369.199999999997</v>
      </c>
      <c r="C77">
        <f>'Monthly Trends'!C4</f>
        <v>22220.600000000006</v>
      </c>
    </row>
    <row r="78" spans="1:5" x14ac:dyDescent="0.25">
      <c r="A78" t="str">
        <f>'Monthly Trends'!A5</f>
        <v>February</v>
      </c>
      <c r="B78">
        <f>'Monthly Trends'!B5</f>
        <v>31528.9</v>
      </c>
      <c r="C78">
        <f>'Monthly Trends'!C5</f>
        <v>20883</v>
      </c>
    </row>
    <row r="79" spans="1:5" x14ac:dyDescent="0.25">
      <c r="A79" t="str">
        <f>'Monthly Trends'!A6</f>
        <v>March</v>
      </c>
      <c r="B79">
        <f>'Monthly Trends'!B6</f>
        <v>33443.600000000006</v>
      </c>
      <c r="C79">
        <f>'Monthly Trends'!C6</f>
        <v>22394</v>
      </c>
    </row>
    <row r="80" spans="1:5" x14ac:dyDescent="0.25">
      <c r="A80" t="str">
        <f>'Monthly Trends'!A7</f>
        <v>April</v>
      </c>
      <c r="B80">
        <f>'Monthly Trends'!B7</f>
        <v>35031.699999999997</v>
      </c>
      <c r="C80">
        <f>'Monthly Trends'!C7</f>
        <v>23225.399999999998</v>
      </c>
    </row>
    <row r="81" spans="1:3" x14ac:dyDescent="0.25">
      <c r="A81" t="str">
        <f>'Monthly Trends'!A8</f>
        <v>May</v>
      </c>
      <c r="B81">
        <f>'Monthly Trends'!B8</f>
        <v>37767.4</v>
      </c>
      <c r="C81">
        <f>'Monthly Trends'!C8</f>
        <v>25236.3</v>
      </c>
    </row>
    <row r="82" spans="1:3" x14ac:dyDescent="0.25">
      <c r="A82" t="str">
        <f>'Monthly Trends'!A9</f>
        <v>June</v>
      </c>
      <c r="B82">
        <f>'Monthly Trends'!B9</f>
        <v>39987.300000000003</v>
      </c>
      <c r="C82">
        <f>'Monthly Trends'!C9</f>
        <v>26795.800000000003</v>
      </c>
    </row>
    <row r="83" spans="1:3" x14ac:dyDescent="0.25">
      <c r="A83" t="str">
        <f>'Monthly Trends'!A10</f>
        <v>July</v>
      </c>
      <c r="B83">
        <f>'Monthly Trends'!B10</f>
        <v>37883.000000000007</v>
      </c>
      <c r="C83">
        <f>'Monthly Trends'!C10</f>
        <v>25208.1</v>
      </c>
    </row>
    <row r="84" spans="1:3" x14ac:dyDescent="0.25">
      <c r="A84" t="str">
        <f>'Monthly Trends'!A11</f>
        <v>August</v>
      </c>
      <c r="B84">
        <f>'Monthly Trends'!B11</f>
        <v>42387.399999999994</v>
      </c>
      <c r="C84">
        <f>'Monthly Trends'!C11</f>
        <v>28156.499999999996</v>
      </c>
    </row>
    <row r="85" spans="1:3" x14ac:dyDescent="0.25">
      <c r="A85" t="str">
        <f>'Monthly Trends'!A12</f>
        <v>September</v>
      </c>
      <c r="B85">
        <f>'Monthly Trends'!B12</f>
        <v>35181</v>
      </c>
      <c r="C85">
        <f>'Monthly Trends'!C12</f>
        <v>23607.099999999995</v>
      </c>
    </row>
    <row r="86" spans="1:3" x14ac:dyDescent="0.25">
      <c r="A86" t="str">
        <f>'Monthly Trends'!A13</f>
        <v>October</v>
      </c>
      <c r="B86">
        <f>'Monthly Trends'!B13</f>
        <v>42542.3</v>
      </c>
      <c r="C86">
        <f>'Monthly Trends'!C13</f>
        <v>28284.899999999998</v>
      </c>
    </row>
    <row r="87" spans="1:3" x14ac:dyDescent="0.25">
      <c r="A87" t="str">
        <f>'Monthly Trends'!A14</f>
        <v>November</v>
      </c>
      <c r="B87">
        <f>'Monthly Trends'!B14</f>
        <v>36225</v>
      </c>
      <c r="C87">
        <f>'Monthly Trends'!C14</f>
        <v>24164.399999999998</v>
      </c>
    </row>
    <row r="88" spans="1:3" x14ac:dyDescent="0.25">
      <c r="A88" t="str">
        <f>'Monthly Trends'!A15</f>
        <v>December</v>
      </c>
      <c r="B88">
        <f>'Monthly Trends'!B15</f>
        <v>60013.799999999988</v>
      </c>
      <c r="C88">
        <f>'Monthly Trends'!C15</f>
        <v>40166.499999999993</v>
      </c>
    </row>
    <row r="90" spans="1:3" x14ac:dyDescent="0.25">
      <c r="A90" s="98" t="s">
        <v>1402</v>
      </c>
    </row>
    <row r="91" spans="1:3" x14ac:dyDescent="0.25">
      <c r="A91" t="s">
        <v>2</v>
      </c>
      <c r="B91" t="s">
        <v>405</v>
      </c>
      <c r="C91" t="s">
        <v>6</v>
      </c>
    </row>
    <row r="92" spans="1:3" x14ac:dyDescent="0.25">
      <c r="A92" t="str">
        <f>'Monthly Trends'!A27</f>
        <v>Water</v>
      </c>
      <c r="B92">
        <f>'Monthly Trends'!B27</f>
        <v>69851.599999999991</v>
      </c>
      <c r="C92">
        <f>'Monthly Trends'!F27</f>
        <v>0.64490004523876332</v>
      </c>
    </row>
    <row r="93" spans="1:3" x14ac:dyDescent="0.25">
      <c r="A93" t="str">
        <f>'Monthly Trends'!A28</f>
        <v>Sparkling</v>
      </c>
      <c r="B93">
        <f>'Monthly Trends'!B28</f>
        <v>31510.5</v>
      </c>
      <c r="C93">
        <f>'Monthly Trends'!F28</f>
        <v>0.64800622014883935</v>
      </c>
    </row>
    <row r="94" spans="1:3" x14ac:dyDescent="0.25">
      <c r="A94" t="str">
        <f>'Monthly Trends'!A29</f>
        <v>Soft Drinks</v>
      </c>
      <c r="B94">
        <f>'Monthly Trends'!B29</f>
        <v>150954.60000000003</v>
      </c>
      <c r="C94">
        <f>'Monthly Trends'!F29</f>
        <v>0.67490887988839032</v>
      </c>
    </row>
    <row r="95" spans="1:3" x14ac:dyDescent="0.25">
      <c r="A95" t="str">
        <f>'Monthly Trends'!A30</f>
        <v>Energy Drinks</v>
      </c>
      <c r="B95">
        <f>'Monthly Trends'!B30</f>
        <v>75958.399999999994</v>
      </c>
      <c r="C95">
        <f>'Monthly Trends'!F30</f>
        <v>0.68070680793697613</v>
      </c>
    </row>
    <row r="96" spans="1:3" x14ac:dyDescent="0.25">
      <c r="A96" t="str">
        <f>'Monthly Trends'!A31</f>
        <v>Sports Drinks</v>
      </c>
      <c r="B96">
        <f>'Monthly Trends'!B31</f>
        <v>100568.90000000001</v>
      </c>
      <c r="C96">
        <f>'Monthly Trends'!F31</f>
        <v>0.67058504169778121</v>
      </c>
    </row>
    <row r="97" spans="1:3" x14ac:dyDescent="0.25">
      <c r="A97" t="str">
        <f>'Monthly Trends'!A32</f>
        <v>Tea</v>
      </c>
      <c r="B97">
        <f>'Monthly Trends'!B32</f>
        <v>17631.5</v>
      </c>
      <c r="C97">
        <f>'Monthly Trends'!F32</f>
        <v>0.67400958511754527</v>
      </c>
    </row>
    <row r="98" spans="1:3" x14ac:dyDescent="0.25">
      <c r="A98" t="str">
        <f>'Monthly Trends'!A33</f>
        <v>Juices</v>
      </c>
      <c r="B98">
        <f>'Monthly Trends'!B33</f>
        <v>18885.099999999999</v>
      </c>
      <c r="C98">
        <f>'Monthly Trends'!F33</f>
        <v>0.63364769050733116</v>
      </c>
    </row>
    <row r="100" spans="1:3" x14ac:dyDescent="0.25">
      <c r="A100" s="98" t="s">
        <v>1403</v>
      </c>
    </row>
    <row r="101" spans="1:3" x14ac:dyDescent="0.25">
      <c r="A101" t="s">
        <v>201</v>
      </c>
      <c r="B101" t="s">
        <v>488</v>
      </c>
    </row>
    <row r="102" spans="1:3" x14ac:dyDescent="0.25">
      <c r="A102" t="s">
        <v>64</v>
      </c>
      <c r="B102">
        <f>E63</f>
        <v>0.47858499999999987</v>
      </c>
    </row>
    <row r="103" spans="1:3" x14ac:dyDescent="0.25">
      <c r="A103" t="s">
        <v>76</v>
      </c>
      <c r="B103">
        <f>E64</f>
        <v>0.61111590909090907</v>
      </c>
    </row>
    <row r="104" spans="1:3" x14ac:dyDescent="0.25">
      <c r="A104" t="s">
        <v>83</v>
      </c>
      <c r="B104">
        <f>E65</f>
        <v>0.42933142857142848</v>
      </c>
    </row>
    <row r="105" spans="1:3" x14ac:dyDescent="0.25">
      <c r="A105" t="s">
        <v>90</v>
      </c>
      <c r="B105">
        <f>E66</f>
        <v>0.58015399999999995</v>
      </c>
    </row>
  </sheetData>
  <mergeCells count="24">
    <mergeCell ref="A54:L54"/>
    <mergeCell ref="A55:L55"/>
    <mergeCell ref="A56:L56"/>
    <mergeCell ref="A57:L57"/>
    <mergeCell ref="A58:L58"/>
    <mergeCell ref="A59:L59"/>
    <mergeCell ref="A48:L48"/>
    <mergeCell ref="A49:L49"/>
    <mergeCell ref="A50:L50"/>
    <mergeCell ref="A51:L51"/>
    <mergeCell ref="A52:L52"/>
    <mergeCell ref="A53:L53"/>
    <mergeCell ref="A37:F37"/>
    <mergeCell ref="A43:L43"/>
    <mergeCell ref="A44:L44"/>
    <mergeCell ref="A45:L45"/>
    <mergeCell ref="A46:L46"/>
    <mergeCell ref="A47:L47"/>
    <mergeCell ref="A1:L1"/>
    <mergeCell ref="A2:L2"/>
    <mergeCell ref="A4:L4"/>
    <mergeCell ref="A15:L15"/>
    <mergeCell ref="A23:L23"/>
    <mergeCell ref="A31:F31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Monthly Trends</vt:lpstr>
      <vt:lpstr>Sales Data</vt:lpstr>
      <vt:lpstr>Product Catalog</vt:lpstr>
      <vt:lpstr>Customers</vt:lpstr>
      <vt:lpstr>Sales Reps</vt:lpstr>
      <vt:lpstr>Targets &amp; KPIs</vt:lpstr>
      <vt:lpstr>Sales Pipeline</vt:lpstr>
      <vt:lpstr>Inventory</vt:lpstr>
      <vt:lpstr>Executive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Arshad Shaikh</dc:creator>
  <cp:lastModifiedBy>John Rea</cp:lastModifiedBy>
  <dcterms:created xsi:type="dcterms:W3CDTF">2026-02-18T23:46:55Z</dcterms:created>
  <dcterms:modified xsi:type="dcterms:W3CDTF">2026-03-11T10:30:52Z</dcterms:modified>
</cp:coreProperties>
</file>